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PivotChartFilter="1" defaultThemeVersion="124226"/>
  <bookViews>
    <workbookView xWindow="240" yWindow="90" windowWidth="24795" windowHeight="12270" tabRatio="963"/>
  </bookViews>
  <sheets>
    <sheet name="EST HOME ANALYTICS" sheetId="1" r:id="rId1"/>
    <sheet name="EST ASSUMPTIONS" sheetId="3" r:id="rId2"/>
    <sheet name="HRF" sheetId="35" r:id="rId3"/>
    <sheet name="degree days" sheetId="7" r:id="rId4"/>
    <sheet name="PIE" sheetId="28" r:id="rId5"/>
    <sheet name="DONUT" sheetId="30" r:id="rId6"/>
    <sheet name="GRAPH" sheetId="24" r:id="rId7"/>
    <sheet name="PIVOT" sheetId="23" r:id="rId8"/>
    <sheet name="summary" sheetId="15" r:id="rId9"/>
    <sheet name="cavity wall insulation" sheetId="4" r:id="rId10"/>
    <sheet name="solid wall insulation" sheetId="5" r:id="rId11"/>
    <sheet name="loft insulation" sheetId="8" r:id="rId12"/>
    <sheet name="glazing" sheetId="6" r:id="rId13"/>
    <sheet name="draughtproofing" sheetId="9" r:id="rId14"/>
    <sheet name="MVHR" sheetId="14" r:id="rId15"/>
    <sheet name="boiler replacement" sheetId="11" r:id="rId16"/>
    <sheet name="tank insulation" sheetId="10" r:id="rId17"/>
    <sheet name="lighting" sheetId="12" r:id="rId18"/>
    <sheet name="appliances white goods" sheetId="13" r:id="rId19"/>
    <sheet name="appliances cooking" sheetId="33" r:id="rId20"/>
    <sheet name="appliances AV" sheetId="31" r:id="rId21"/>
    <sheet name="appliances computer" sheetId="34" r:id="rId22"/>
    <sheet name="hot water behaviour" sheetId="36" r:id="rId23"/>
    <sheet name="reduce thermostat" sheetId="20" r:id="rId24"/>
    <sheet name="current domestic energy" sheetId="25" r:id="rId25"/>
  </sheets>
  <definedNames>
    <definedName name="eztoc11309_4" localSheetId="1">'EST ASSUMPTIONS'!$B$63</definedName>
    <definedName name="eztoc11309_7" localSheetId="1">'EST ASSUMPTIONS'!$B$107</definedName>
    <definedName name="heating" localSheetId="1">'EST ASSUMPTIONS'!$B$64</definedName>
    <definedName name="lighting" localSheetId="1">'EST ASSUMPTIONS'!$B$108</definedName>
  </definedNames>
  <calcPr calcId="125725"/>
  <pivotCaches>
    <pivotCache cacheId="48" r:id="rId26"/>
  </pivotCaches>
</workbook>
</file>

<file path=xl/calcChain.xml><?xml version="1.0" encoding="utf-8"?>
<calcChain xmlns="http://schemas.openxmlformats.org/spreadsheetml/2006/main">
  <c r="D4" i="12"/>
  <c r="C16"/>
  <c r="C17"/>
  <c r="B18" i="5"/>
  <c r="B16"/>
  <c r="C8" i="15"/>
  <c r="C7"/>
  <c r="C6"/>
  <c r="C5"/>
  <c r="V5" i="8" l="1"/>
  <c r="V6"/>
  <c r="V7"/>
  <c r="V4"/>
  <c r="P4"/>
  <c r="U4"/>
  <c r="S5"/>
  <c r="T5"/>
  <c r="S6"/>
  <c r="T6"/>
  <c r="S7"/>
  <c r="T7"/>
  <c r="T4"/>
  <c r="S4"/>
  <c r="U7"/>
  <c r="W7" s="1"/>
  <c r="U6"/>
  <c r="U5"/>
  <c r="W5" s="1"/>
  <c r="P5" i="5"/>
  <c r="P6"/>
  <c r="P7"/>
  <c r="P4"/>
  <c r="M5"/>
  <c r="N5"/>
  <c r="O5" s="1"/>
  <c r="Q5" s="1"/>
  <c r="M6"/>
  <c r="N6"/>
  <c r="M7"/>
  <c r="N7"/>
  <c r="O7" s="1"/>
  <c r="Q7" s="1"/>
  <c r="M4"/>
  <c r="N4"/>
  <c r="O6"/>
  <c r="O4"/>
  <c r="Q4" s="1"/>
  <c r="T5" i="4"/>
  <c r="T6"/>
  <c r="T7"/>
  <c r="T4"/>
  <c r="S5"/>
  <c r="S6"/>
  <c r="S7"/>
  <c r="S4"/>
  <c r="R5"/>
  <c r="R6"/>
  <c r="R7"/>
  <c r="R4"/>
  <c r="Q5"/>
  <c r="Q6"/>
  <c r="Q7"/>
  <c r="Q4"/>
  <c r="P5"/>
  <c r="P6"/>
  <c r="P7"/>
  <c r="P4"/>
  <c r="W4" i="8" l="1"/>
  <c r="W6"/>
  <c r="Q6" i="5"/>
  <c r="B52" i="31" l="1"/>
  <c r="B51"/>
  <c r="J14"/>
  <c r="J15"/>
  <c r="J16"/>
  <c r="J17"/>
  <c r="J13"/>
  <c r="I14"/>
  <c r="I13"/>
  <c r="I17"/>
  <c r="I18" s="1"/>
  <c r="C15" i="12"/>
  <c r="D5"/>
  <c r="C20" i="10"/>
  <c r="C5" i="5"/>
  <c r="C6"/>
  <c r="C7"/>
  <c r="C4"/>
  <c r="F30"/>
  <c r="F31"/>
  <c r="F32"/>
  <c r="F29"/>
  <c r="E30"/>
  <c r="E31"/>
  <c r="E32"/>
  <c r="E29"/>
  <c r="D30"/>
  <c r="D31"/>
  <c r="D32"/>
  <c r="D29"/>
  <c r="C30"/>
  <c r="C31"/>
  <c r="C32"/>
  <c r="C29"/>
  <c r="C26"/>
  <c r="C24"/>
  <c r="J4"/>
  <c r="I4"/>
  <c r="L7" i="4"/>
  <c r="C12" i="12"/>
  <c r="AF6" i="15"/>
  <c r="AG6"/>
  <c r="R12" s="1"/>
  <c r="AH6"/>
  <c r="AJ6"/>
  <c r="AK6"/>
  <c r="T12" s="1"/>
  <c r="AL6"/>
  <c r="AM6"/>
  <c r="U12" s="1"/>
  <c r="AF7"/>
  <c r="AG7"/>
  <c r="R13" s="1"/>
  <c r="AH7"/>
  <c r="AJ7"/>
  <c r="AK7"/>
  <c r="T13" s="1"/>
  <c r="AL7"/>
  <c r="AM7"/>
  <c r="U13" s="1"/>
  <c r="AF8"/>
  <c r="AG8"/>
  <c r="R14" s="1"/>
  <c r="AH8"/>
  <c r="AJ8"/>
  <c r="AK8"/>
  <c r="T14" s="1"/>
  <c r="AL8"/>
  <c r="AM8"/>
  <c r="U14" s="1"/>
  <c r="AM5"/>
  <c r="U11" s="1"/>
  <c r="AK5"/>
  <c r="T11" s="1"/>
  <c r="AG5"/>
  <c r="R11" s="1"/>
  <c r="AL5"/>
  <c r="AJ5"/>
  <c r="AH5"/>
  <c r="AF5"/>
  <c r="AO4"/>
  <c r="V10" s="1"/>
  <c r="AN4"/>
  <c r="AM4"/>
  <c r="U10" s="1"/>
  <c r="AL4"/>
  <c r="AK4"/>
  <c r="T10" s="1"/>
  <c r="AJ4"/>
  <c r="AI4"/>
  <c r="S10" s="1"/>
  <c r="AH4"/>
  <c r="AG4"/>
  <c r="R10" s="1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D16" i="13"/>
  <c r="D12"/>
  <c r="C13" i="36"/>
  <c r="C24"/>
  <c r="D14"/>
  <c r="E14" s="1"/>
  <c r="G15"/>
  <c r="G14"/>
  <c r="E13"/>
  <c r="C7"/>
  <c r="C6"/>
  <c r="C5"/>
  <c r="C4"/>
  <c r="C41" i="34"/>
  <c r="C48" i="31"/>
  <c r="D5" i="33"/>
  <c r="D6"/>
  <c r="D7"/>
  <c r="D4"/>
  <c r="C33"/>
  <c r="C32"/>
  <c r="C31"/>
  <c r="C30"/>
  <c r="C20" i="13"/>
  <c r="C19"/>
  <c r="E11" s="1"/>
  <c r="C23" i="12"/>
  <c r="D15" i="34"/>
  <c r="E15" s="1"/>
  <c r="D14"/>
  <c r="C13"/>
  <c r="C15"/>
  <c r="C14"/>
  <c r="E38"/>
  <c r="E37"/>
  <c r="E39" s="1"/>
  <c r="C39"/>
  <c r="C35"/>
  <c r="D13" s="1"/>
  <c r="E13" s="1"/>
  <c r="F13" s="1"/>
  <c r="J23"/>
  <c r="I23"/>
  <c r="E14"/>
  <c r="C7"/>
  <c r="C6"/>
  <c r="C5"/>
  <c r="C4"/>
  <c r="G14" i="31"/>
  <c r="G15"/>
  <c r="G16"/>
  <c r="I15"/>
  <c r="I16"/>
  <c r="G13"/>
  <c r="C46"/>
  <c r="D45" s="1"/>
  <c r="D16" s="1"/>
  <c r="E16" s="1"/>
  <c r="F16" s="1"/>
  <c r="J29"/>
  <c r="G29"/>
  <c r="H29"/>
  <c r="F29"/>
  <c r="I29" s="1"/>
  <c r="J26"/>
  <c r="J27"/>
  <c r="J28"/>
  <c r="J25"/>
  <c r="I26"/>
  <c r="C14" s="1"/>
  <c r="I27"/>
  <c r="K27" s="1"/>
  <c r="I28"/>
  <c r="C16" s="1"/>
  <c r="I25"/>
  <c r="K25" s="1"/>
  <c r="C38"/>
  <c r="D13" s="1"/>
  <c r="E13" s="1"/>
  <c r="F13" s="1"/>
  <c r="E27" i="33"/>
  <c r="F27" s="1"/>
  <c r="I27" s="1"/>
  <c r="F26"/>
  <c r="I26" s="1"/>
  <c r="E26"/>
  <c r="E25"/>
  <c r="F25" s="1"/>
  <c r="I25" s="1"/>
  <c r="F24"/>
  <c r="I24" s="1"/>
  <c r="E24"/>
  <c r="E23"/>
  <c r="F23" s="1"/>
  <c r="I23" s="1"/>
  <c r="F22"/>
  <c r="I22" s="1"/>
  <c r="E22"/>
  <c r="E21"/>
  <c r="F21" s="1"/>
  <c r="I21" s="1"/>
  <c r="F20"/>
  <c r="I20" s="1"/>
  <c r="E20"/>
  <c r="E19"/>
  <c r="F19" s="1"/>
  <c r="I19" s="1"/>
  <c r="F18"/>
  <c r="I18" s="1"/>
  <c r="E18"/>
  <c r="G17"/>
  <c r="F17"/>
  <c r="I17" s="1"/>
  <c r="E17"/>
  <c r="E16"/>
  <c r="F16" s="1"/>
  <c r="I16" s="1"/>
  <c r="F15"/>
  <c r="I15" s="1"/>
  <c r="E15"/>
  <c r="E14"/>
  <c r="F14" s="1"/>
  <c r="I14" s="1"/>
  <c r="F13"/>
  <c r="E13"/>
  <c r="C7"/>
  <c r="C6"/>
  <c r="C5"/>
  <c r="C4"/>
  <c r="C5" i="31"/>
  <c r="C6"/>
  <c r="C7"/>
  <c r="C4"/>
  <c r="C10" i="15"/>
  <c r="Q10"/>
  <c r="P10"/>
  <c r="O10"/>
  <c r="N10"/>
  <c r="M10"/>
  <c r="L10"/>
  <c r="K10"/>
  <c r="J10"/>
  <c r="I10"/>
  <c r="H10"/>
  <c r="G10"/>
  <c r="F10"/>
  <c r="E10"/>
  <c r="D10"/>
  <c r="I19" i="31" l="1"/>
  <c r="I20" s="1"/>
  <c r="D15" i="36"/>
  <c r="E15" s="1"/>
  <c r="F13"/>
  <c r="F14"/>
  <c r="I14" s="1"/>
  <c r="C15" s="1"/>
  <c r="F15" s="1"/>
  <c r="I15" s="1"/>
  <c r="F15" i="34"/>
  <c r="K23"/>
  <c r="F14"/>
  <c r="F16" s="1"/>
  <c r="K28" i="31"/>
  <c r="K26"/>
  <c r="K29"/>
  <c r="D46"/>
  <c r="D44"/>
  <c r="D15" s="1"/>
  <c r="E15" s="1"/>
  <c r="F15" s="1"/>
  <c r="C15"/>
  <c r="D43"/>
  <c r="D14" s="1"/>
  <c r="E14" s="1"/>
  <c r="F14" s="1"/>
  <c r="F28" i="33"/>
  <c r="I13"/>
  <c r="I28" s="1"/>
  <c r="E4" i="13"/>
  <c r="AB6" i="15" s="1"/>
  <c r="E5" i="13"/>
  <c r="AB7" i="15" s="1"/>
  <c r="E6" i="13"/>
  <c r="AB8" i="15" s="1"/>
  <c r="E3" i="13"/>
  <c r="AB5" i="15" s="1"/>
  <c r="G3" i="13"/>
  <c r="AD5" i="15" s="1"/>
  <c r="C34" i="13"/>
  <c r="E17"/>
  <c r="E16"/>
  <c r="E15"/>
  <c r="C28"/>
  <c r="C29" s="1"/>
  <c r="G4"/>
  <c r="AD6" i="15" s="1"/>
  <c r="G5" i="13"/>
  <c r="AD7" i="15" s="1"/>
  <c r="G6" i="13"/>
  <c r="AD8" i="15" s="1"/>
  <c r="C4" i="13"/>
  <c r="Z6" i="15" s="1"/>
  <c r="C5" i="13"/>
  <c r="Z7" i="15" s="1"/>
  <c r="C6" i="13"/>
  <c r="Z8" i="15" s="1"/>
  <c r="C3" i="13"/>
  <c r="Z5" i="15" s="1"/>
  <c r="C48" i="9"/>
  <c r="C49" s="1"/>
  <c r="V6" i="15"/>
  <c r="V7"/>
  <c r="V8"/>
  <c r="V5"/>
  <c r="C5" i="10"/>
  <c r="C6"/>
  <c r="C7"/>
  <c r="C4"/>
  <c r="C16"/>
  <c r="C15"/>
  <c r="AN6" i="15"/>
  <c r="AN7"/>
  <c r="AN8"/>
  <c r="AN5"/>
  <c r="C5" i="20"/>
  <c r="C6"/>
  <c r="C7"/>
  <c r="C4"/>
  <c r="D5" i="31" l="1"/>
  <c r="AI6" i="15" s="1"/>
  <c r="S12" s="1"/>
  <c r="D7" i="31"/>
  <c r="AI8" i="15" s="1"/>
  <c r="S14" s="1"/>
  <c r="D6" i="31"/>
  <c r="AI7" i="15" s="1"/>
  <c r="S13" s="1"/>
  <c r="D4" i="31"/>
  <c r="AI5" i="15" s="1"/>
  <c r="S11" s="1"/>
  <c r="F16" i="36"/>
  <c r="I13"/>
  <c r="I16" s="1"/>
  <c r="G13" i="34"/>
  <c r="I13" s="1"/>
  <c r="G14"/>
  <c r="I14" s="1"/>
  <c r="I16" s="1"/>
  <c r="I17" s="1"/>
  <c r="I18" s="1"/>
  <c r="G15"/>
  <c r="I15" s="1"/>
  <c r="F17" i="31"/>
  <c r="F16" i="13"/>
  <c r="E32" s="1"/>
  <c r="F17"/>
  <c r="E33" s="1"/>
  <c r="F15"/>
  <c r="E31" s="1"/>
  <c r="E12"/>
  <c r="F12" s="1"/>
  <c r="E28" s="1"/>
  <c r="E13"/>
  <c r="F11"/>
  <c r="E26" s="1"/>
  <c r="E14" l="1"/>
  <c r="F14" s="1"/>
  <c r="I17" i="36"/>
  <c r="I19" i="34"/>
  <c r="E34" i="13"/>
  <c r="E35" s="1"/>
  <c r="H3" s="1"/>
  <c r="AE5" i="15" s="1"/>
  <c r="Q11" s="1"/>
  <c r="F13" i="13"/>
  <c r="E27" s="1"/>
  <c r="E29" s="1"/>
  <c r="E30" s="1"/>
  <c r="D3" s="1"/>
  <c r="AA5" i="15" s="1"/>
  <c r="O11" s="1"/>
  <c r="F5" i="13" l="1"/>
  <c r="AC7" i="15" s="1"/>
  <c r="P13" s="1"/>
  <c r="F6" i="13"/>
  <c r="AC8" i="15" s="1"/>
  <c r="P14" s="1"/>
  <c r="F4" i="13"/>
  <c r="AC6" i="15" s="1"/>
  <c r="P12" s="1"/>
  <c r="F3" i="13"/>
  <c r="AC5" i="15" s="1"/>
  <c r="P11" s="1"/>
  <c r="I18" i="36"/>
  <c r="I19" s="1"/>
  <c r="D7" s="1"/>
  <c r="D6" i="34"/>
  <c r="D7"/>
  <c r="D4"/>
  <c r="D5"/>
  <c r="H4" i="13"/>
  <c r="AE6" i="15" s="1"/>
  <c r="Q12" s="1"/>
  <c r="H5" i="13"/>
  <c r="AE7" i="15" s="1"/>
  <c r="Q13" s="1"/>
  <c r="H6" i="13"/>
  <c r="AE8" i="15" s="1"/>
  <c r="Q14" s="1"/>
  <c r="D5" i="13"/>
  <c r="AA7" i="15" s="1"/>
  <c r="O13" s="1"/>
  <c r="D4" i="13"/>
  <c r="AA6" i="15" s="1"/>
  <c r="O12" s="1"/>
  <c r="D6" i="13"/>
  <c r="AA8" i="15" s="1"/>
  <c r="O14" s="1"/>
  <c r="D5" i="36" l="1"/>
  <c r="D6"/>
  <c r="D4"/>
  <c r="C33" i="12"/>
  <c r="C5"/>
  <c r="C6"/>
  <c r="C7"/>
  <c r="C4"/>
  <c r="C32"/>
  <c r="C22"/>
  <c r="C19" i="10" s="1"/>
  <c r="C21" i="12"/>
  <c r="E5" i="9"/>
  <c r="E6"/>
  <c r="E7"/>
  <c r="E4"/>
  <c r="D14"/>
  <c r="E14"/>
  <c r="F14"/>
  <c r="G14"/>
  <c r="C14"/>
  <c r="I5" i="5"/>
  <c r="I6"/>
  <c r="I7"/>
  <c r="F5"/>
  <c r="F6"/>
  <c r="F7"/>
  <c r="F4"/>
  <c r="T6" i="15"/>
  <c r="T7"/>
  <c r="T8"/>
  <c r="T5"/>
  <c r="E42" i="9"/>
  <c r="C42"/>
  <c r="E36"/>
  <c r="C52" s="1"/>
  <c r="C15" i="14" s="1"/>
  <c r="E35" i="9"/>
  <c r="C36"/>
  <c r="C51" s="1"/>
  <c r="C35"/>
  <c r="C50" s="1"/>
  <c r="C27"/>
  <c r="C22"/>
  <c r="D22"/>
  <c r="C23"/>
  <c r="D23"/>
  <c r="C24"/>
  <c r="B23"/>
  <c r="B24"/>
  <c r="B22"/>
  <c r="C32" i="14"/>
  <c r="C7" s="1"/>
  <c r="C31"/>
  <c r="C6" s="1"/>
  <c r="C30"/>
  <c r="C5" s="1"/>
  <c r="C29"/>
  <c r="C4" s="1"/>
  <c r="X8" i="15" l="1"/>
  <c r="D7" i="12"/>
  <c r="X6" i="15"/>
  <c r="X7"/>
  <c r="D6" i="12"/>
  <c r="D6" i="10"/>
  <c r="W7" i="15" s="1"/>
  <c r="M13" s="1"/>
  <c r="D4" i="10"/>
  <c r="W5" i="15" s="1"/>
  <c r="M11" s="1"/>
  <c r="D5" i="10"/>
  <c r="W6" i="15" s="1"/>
  <c r="M12" s="1"/>
  <c r="D7" i="10"/>
  <c r="W8" i="15" s="1"/>
  <c r="M14" s="1"/>
  <c r="X5"/>
  <c r="D26" i="12"/>
  <c r="E26" s="1"/>
  <c r="D31" s="1"/>
  <c r="E27"/>
  <c r="C16" i="20"/>
  <c r="C17" s="1"/>
  <c r="C15" i="9"/>
  <c r="C19" s="1"/>
  <c r="C4" s="1"/>
  <c r="C37"/>
  <c r="C38" s="1"/>
  <c r="C39" s="1"/>
  <c r="C40" s="1"/>
  <c r="C41" s="1"/>
  <c r="C43" s="1"/>
  <c r="D7" s="1"/>
  <c r="D32" i="14"/>
  <c r="D30"/>
  <c r="D31"/>
  <c r="D29"/>
  <c r="E52" i="9"/>
  <c r="G52" s="1"/>
  <c r="E51"/>
  <c r="G51" s="1"/>
  <c r="E50"/>
  <c r="G50" s="1"/>
  <c r="C5"/>
  <c r="P6" i="15" s="1"/>
  <c r="R6" s="1"/>
  <c r="C6" i="9"/>
  <c r="P7" i="15" s="1"/>
  <c r="R7" s="1"/>
  <c r="P5"/>
  <c r="R5" s="1"/>
  <c r="E37" i="9"/>
  <c r="E38" s="1"/>
  <c r="E39" s="1"/>
  <c r="E40" s="1"/>
  <c r="E41" s="1"/>
  <c r="E43" s="1"/>
  <c r="F6" s="1"/>
  <c r="S7" i="15" s="1"/>
  <c r="K13" s="1"/>
  <c r="C7" i="9"/>
  <c r="P8" i="15" s="1"/>
  <c r="R8" s="1"/>
  <c r="F27" i="12" l="1"/>
  <c r="E32" s="1"/>
  <c r="D32"/>
  <c r="D4" i="20"/>
  <c r="AO5" i="15" s="1"/>
  <c r="V11" s="1"/>
  <c r="D6" i="20"/>
  <c r="AO7" i="15" s="1"/>
  <c r="V13" s="1"/>
  <c r="D5" i="20"/>
  <c r="AO6" i="15" s="1"/>
  <c r="V12" s="1"/>
  <c r="D7" i="20"/>
  <c r="AO8" i="15" s="1"/>
  <c r="V14" s="1"/>
  <c r="F26" i="12"/>
  <c r="E31" s="1"/>
  <c r="E33" s="1"/>
  <c r="G27"/>
  <c r="F32" s="1"/>
  <c r="F5" i="9"/>
  <c r="S6" i="15" s="1"/>
  <c r="K12" s="1"/>
  <c r="F4" i="9"/>
  <c r="S5" i="15" s="1"/>
  <c r="K11" s="1"/>
  <c r="F7" i="9"/>
  <c r="S8" i="15" s="1"/>
  <c r="K14" s="1"/>
  <c r="D4" i="9"/>
  <c r="Q5" i="15" s="1"/>
  <c r="D6" i="9"/>
  <c r="Q7" i="15" s="1"/>
  <c r="D5" i="9"/>
  <c r="Q6" i="15" s="1"/>
  <c r="Q8"/>
  <c r="G26" i="12" l="1"/>
  <c r="F31" s="1"/>
  <c r="F33" s="1"/>
  <c r="D33"/>
  <c r="Y5" i="15"/>
  <c r="N11" s="1"/>
  <c r="Y8"/>
  <c r="N14" s="1"/>
  <c r="J14"/>
  <c r="J13"/>
  <c r="J12"/>
  <c r="J11"/>
  <c r="D29" i="6"/>
  <c r="L6" i="15"/>
  <c r="N6"/>
  <c r="L7"/>
  <c r="N7"/>
  <c r="L8"/>
  <c r="N8"/>
  <c r="N5"/>
  <c r="H6"/>
  <c r="J6"/>
  <c r="H7"/>
  <c r="J7"/>
  <c r="H8"/>
  <c r="J8"/>
  <c r="J5"/>
  <c r="H5"/>
  <c r="F6"/>
  <c r="F7"/>
  <c r="F8"/>
  <c r="F5"/>
  <c r="D6"/>
  <c r="E6"/>
  <c r="D12" s="1"/>
  <c r="D7"/>
  <c r="E7"/>
  <c r="D13" s="1"/>
  <c r="D8"/>
  <c r="E8"/>
  <c r="D14" s="1"/>
  <c r="E5"/>
  <c r="D11" s="1"/>
  <c r="D5"/>
  <c r="C14" i="14"/>
  <c r="J30"/>
  <c r="J31"/>
  <c r="J32"/>
  <c r="J29"/>
  <c r="Y7" i="15" l="1"/>
  <c r="N13" s="1"/>
  <c r="Y6"/>
  <c r="N12" s="1"/>
  <c r="C20" i="14"/>
  <c r="E29"/>
  <c r="F29" s="1"/>
  <c r="G29" s="1"/>
  <c r="H29" s="1"/>
  <c r="E30"/>
  <c r="F30" s="1"/>
  <c r="G30" s="1"/>
  <c r="H30" s="1"/>
  <c r="I30" s="1"/>
  <c r="K30" s="1"/>
  <c r="D5" s="1"/>
  <c r="U6" i="15" s="1"/>
  <c r="E31" i="14"/>
  <c r="F31" s="1"/>
  <c r="G31" s="1"/>
  <c r="G14" i="7"/>
  <c r="G15"/>
  <c r="G16" s="1"/>
  <c r="E32" i="14"/>
  <c r="F32" s="1"/>
  <c r="G32" s="1"/>
  <c r="H32" s="1"/>
  <c r="I32" s="1"/>
  <c r="K32" s="1"/>
  <c r="D7" s="1"/>
  <c r="U8" i="15" s="1"/>
  <c r="L14" l="1"/>
  <c r="L12"/>
  <c r="H31" i="14"/>
  <c r="I31" s="1"/>
  <c r="K31" s="1"/>
  <c r="D6" s="1"/>
  <c r="U7" i="15" s="1"/>
  <c r="I29" i="14"/>
  <c r="K29" s="1"/>
  <c r="D4" s="1"/>
  <c r="U5" i="15" s="1"/>
  <c r="K5" i="6"/>
  <c r="K6"/>
  <c r="K7"/>
  <c r="K4"/>
  <c r="I5"/>
  <c r="I6"/>
  <c r="I7"/>
  <c r="I4"/>
  <c r="L5" i="15" s="1"/>
  <c r="J3" i="6"/>
  <c r="L30"/>
  <c r="L31"/>
  <c r="L32"/>
  <c r="L29"/>
  <c r="D30"/>
  <c r="E30"/>
  <c r="F30"/>
  <c r="G30"/>
  <c r="D31"/>
  <c r="E31"/>
  <c r="F31"/>
  <c r="G31"/>
  <c r="D32"/>
  <c r="E32"/>
  <c r="F32"/>
  <c r="G32"/>
  <c r="E29"/>
  <c r="F29"/>
  <c r="G29"/>
  <c r="C29"/>
  <c r="C30"/>
  <c r="C31"/>
  <c r="C32"/>
  <c r="C28"/>
  <c r="B30"/>
  <c r="B31"/>
  <c r="B32"/>
  <c r="B29"/>
  <c r="D14"/>
  <c r="E14"/>
  <c r="F14"/>
  <c r="G14"/>
  <c r="H14"/>
  <c r="I14"/>
  <c r="J14"/>
  <c r="C14"/>
  <c r="G12"/>
  <c r="D12"/>
  <c r="E12"/>
  <c r="F12"/>
  <c r="H12"/>
  <c r="I12"/>
  <c r="J12"/>
  <c r="C12"/>
  <c r="M5" i="8"/>
  <c r="O5"/>
  <c r="M6"/>
  <c r="O6"/>
  <c r="M7"/>
  <c r="O7"/>
  <c r="O4"/>
  <c r="M4"/>
  <c r="C13" i="4"/>
  <c r="B17" i="5"/>
  <c r="B14" i="8" s="1"/>
  <c r="M6" i="4"/>
  <c r="C12"/>
  <c r="L5"/>
  <c r="L6"/>
  <c r="L4"/>
  <c r="G11" i="7"/>
  <c r="G10"/>
  <c r="G9"/>
  <c r="L11" i="15" l="1"/>
  <c r="L13"/>
  <c r="B16" i="8"/>
  <c r="C21" i="6"/>
  <c r="C22" s="1"/>
  <c r="B15" i="8"/>
  <c r="N4" s="1"/>
  <c r="I5" i="15" s="1"/>
  <c r="F11" s="1"/>
  <c r="N7" i="8"/>
  <c r="I8" i="15" s="1"/>
  <c r="F14" s="1"/>
  <c r="N5" i="8"/>
  <c r="I6" i="15" s="1"/>
  <c r="F12" s="1"/>
  <c r="N6" i="8"/>
  <c r="I7" i="15" s="1"/>
  <c r="F13" s="1"/>
  <c r="M7" i="4"/>
  <c r="M5"/>
  <c r="M4"/>
  <c r="J5" i="5" l="1"/>
  <c r="G6" i="15" s="1"/>
  <c r="J7" i="5"/>
  <c r="G8" i="15" s="1"/>
  <c r="J6" i="5"/>
  <c r="G7" i="15" s="1"/>
  <c r="G5"/>
  <c r="I30" i="6"/>
  <c r="K30"/>
  <c r="I31"/>
  <c r="K31"/>
  <c r="I32"/>
  <c r="K32"/>
  <c r="J29"/>
  <c r="H29"/>
  <c r="H30"/>
  <c r="J30"/>
  <c r="H31"/>
  <c r="J31"/>
  <c r="H32"/>
  <c r="J32"/>
  <c r="K29"/>
  <c r="I29"/>
  <c r="C23"/>
  <c r="P7" i="8"/>
  <c r="K8" i="15" s="1"/>
  <c r="G14" s="1"/>
  <c r="P6" i="8"/>
  <c r="K7" i="15" s="1"/>
  <c r="G13" s="1"/>
  <c r="K5"/>
  <c r="G11" s="1"/>
  <c r="P5" i="8"/>
  <c r="K6" i="15" s="1"/>
  <c r="G12" s="1"/>
  <c r="E11" l="1"/>
  <c r="E14"/>
  <c r="E13"/>
  <c r="E12"/>
  <c r="L6" i="6"/>
  <c r="O7" i="15" s="1"/>
  <c r="I13" s="1"/>
  <c r="L4" i="6"/>
  <c r="O5" i="15" s="1"/>
  <c r="I11" s="1"/>
  <c r="L5" i="6"/>
  <c r="O6" i="15" s="1"/>
  <c r="I12" s="1"/>
  <c r="L7" i="6"/>
  <c r="O8" i="15" s="1"/>
  <c r="I14" s="1"/>
  <c r="M32" i="6"/>
  <c r="J7" s="1"/>
  <c r="M8" i="15" s="1"/>
  <c r="H14" s="1"/>
  <c r="M31" i="6"/>
  <c r="J6" s="1"/>
  <c r="M7" i="15" s="1"/>
  <c r="H13" s="1"/>
  <c r="M30" i="6"/>
  <c r="J5" s="1"/>
  <c r="M6" i="15" s="1"/>
  <c r="H12" s="1"/>
  <c r="M29" i="6"/>
  <c r="J4" s="1"/>
  <c r="M5" i="15" s="1"/>
  <c r="H11" s="1"/>
  <c r="C12" l="1"/>
  <c r="C13"/>
  <c r="C14"/>
</calcChain>
</file>

<file path=xl/sharedStrings.xml><?xml version="1.0" encoding="utf-8"?>
<sst xmlns="http://schemas.openxmlformats.org/spreadsheetml/2006/main" count="1111" uniqueCount="633">
  <si>
    <t>PROPERTY AGE</t>
  </si>
  <si>
    <t>PROPERTY TYPE</t>
  </si>
  <si>
    <t>TENURE</t>
  </si>
  <si>
    <t>WALL TYPE</t>
  </si>
  <si>
    <t>HARD TO FILL CAVITIES</t>
  </si>
  <si>
    <t>GLAZING TYPE</t>
  </si>
  <si>
    <t>MAIN FUEL TYPE</t>
  </si>
  <si>
    <t>BOILER TYPE</t>
  </si>
  <si>
    <t>ROOF ORIENTATION</t>
  </si>
  <si>
    <t>HHRCO ELIGIBLE HOMES</t>
  </si>
  <si>
    <t>HHRCO MEASURES</t>
  </si>
  <si>
    <t>CSCO RURAL ELIGIBLE HOMES</t>
  </si>
  <si>
    <t>CSCO MEASURES</t>
  </si>
  <si>
    <t>Pre 1870</t>
  </si>
  <si>
    <t>Pre 1870 %</t>
  </si>
  <si>
    <t>1871 - 1919</t>
  </si>
  <si>
    <t>1871 - 1919 %</t>
  </si>
  <si>
    <t>1920 - 1945</t>
  </si>
  <si>
    <t>1920 - 1945 %</t>
  </si>
  <si>
    <t>1946 - 1954</t>
  </si>
  <si>
    <t>1946 - 1954 %</t>
  </si>
  <si>
    <t>1955 - 1979</t>
  </si>
  <si>
    <t>1955 - 1979 %</t>
  </si>
  <si>
    <t>Post 1980</t>
  </si>
  <si>
    <t>Post 1980 %</t>
  </si>
  <si>
    <t>Unknown</t>
  </si>
  <si>
    <t>Unknown %</t>
  </si>
  <si>
    <t>Total homes in area</t>
  </si>
  <si>
    <t>South Hams</t>
  </si>
  <si>
    <t>West Devon</t>
  </si>
  <si>
    <t>Dartmoor</t>
  </si>
  <si>
    <t>SW Devon</t>
  </si>
  <si>
    <t>Detached</t>
  </si>
  <si>
    <t>Detached %</t>
  </si>
  <si>
    <t>End Terrace</t>
  </si>
  <si>
    <t>End Terrace %</t>
  </si>
  <si>
    <t>Flat</t>
  </si>
  <si>
    <t>Flat %</t>
  </si>
  <si>
    <t>Semi Detached</t>
  </si>
  <si>
    <t>Semi Detached %</t>
  </si>
  <si>
    <t>Terraced</t>
  </si>
  <si>
    <t>Terraced %</t>
  </si>
  <si>
    <t>Owner Occupied</t>
  </si>
  <si>
    <t>Owner Occupied %</t>
  </si>
  <si>
    <t>Privately Rented</t>
  </si>
  <si>
    <t>Privately Rented %</t>
  </si>
  <si>
    <t>Council/Housing Association</t>
  </si>
  <si>
    <t>Council/Housing Association %</t>
  </si>
  <si>
    <t>Insulated Cavity Walls</t>
  </si>
  <si>
    <t>Insulated Cavity Walls %</t>
  </si>
  <si>
    <t>Uninsulated Cavity Walls</t>
  </si>
  <si>
    <t>Uninsulated Cavity Walls %</t>
  </si>
  <si>
    <t>Solid Walls</t>
  </si>
  <si>
    <t>Solid Walls %</t>
  </si>
  <si>
    <t>System build (Concrete, Metal or Timber)</t>
  </si>
  <si>
    <t>System build (Concrete, Metal or Timber) %</t>
  </si>
  <si>
    <t>Narrow Cavity</t>
  </si>
  <si>
    <t>Narrow Cavity %</t>
  </si>
  <si>
    <t>Random stone</t>
  </si>
  <si>
    <t>Random stone %</t>
  </si>
  <si>
    <t>Too tall</t>
  </si>
  <si>
    <t>Too tall %</t>
  </si>
  <si>
    <t>Wall fault</t>
  </si>
  <si>
    <t>Wall fault %</t>
  </si>
  <si>
    <t>Exposure</t>
  </si>
  <si>
    <t>Exposure %</t>
  </si>
  <si>
    <t>No Loft</t>
  </si>
  <si>
    <t>No Loft %</t>
  </si>
  <si>
    <t>Loft Insulation between 0 and 50mm</t>
  </si>
  <si>
    <t>Loft Insulation between 0 and 50mm %</t>
  </si>
  <si>
    <t>Loft Insulation between 50 and 150mm</t>
  </si>
  <si>
    <t>Loft Insulation between 50 and 150mm %</t>
  </si>
  <si>
    <t>Loft Insulation more than 150mm</t>
  </si>
  <si>
    <t>Loft Insulation more than 150mm %</t>
  </si>
  <si>
    <t>Single glazed (Less than 80% Double Glazing)</t>
  </si>
  <si>
    <t>Single glazed (Less than 80% Double Glazing) %</t>
  </si>
  <si>
    <t>Double glazed (More than 80% Double Glazing)</t>
  </si>
  <si>
    <t>Double glazed (More than 80% Double Glazing) %</t>
  </si>
  <si>
    <t>Gas as Main Fuel</t>
  </si>
  <si>
    <t>Gas as Main Fuel %</t>
  </si>
  <si>
    <t>Electric as Main Fuel</t>
  </si>
  <si>
    <t>Electric as Main Fuel %</t>
  </si>
  <si>
    <t>Oil as Main Fuel</t>
  </si>
  <si>
    <t>Oil as Main Fuel %</t>
  </si>
  <si>
    <t>Communal as Main Fuel</t>
  </si>
  <si>
    <t>Communal as Main Fuel %</t>
  </si>
  <si>
    <t>Solid Fuel as Main Fuel</t>
  </si>
  <si>
    <t>Solid Fuel as Main Fuel %</t>
  </si>
  <si>
    <t>Off gas</t>
  </si>
  <si>
    <t>Off gas %</t>
  </si>
  <si>
    <t>No Boiler</t>
  </si>
  <si>
    <t>No Boiler %</t>
  </si>
  <si>
    <t>Standard Boiler</t>
  </si>
  <si>
    <t>Standard Boiler %</t>
  </si>
  <si>
    <t>Condensing Boiler</t>
  </si>
  <si>
    <t>Condensing Boiler %</t>
  </si>
  <si>
    <t>East</t>
  </si>
  <si>
    <t>East %</t>
  </si>
  <si>
    <t>South East</t>
  </si>
  <si>
    <t>South East %</t>
  </si>
  <si>
    <t>South</t>
  </si>
  <si>
    <t>South %</t>
  </si>
  <si>
    <t>South West</t>
  </si>
  <si>
    <t>South West %</t>
  </si>
  <si>
    <t>West</t>
  </si>
  <si>
    <t>West %</t>
  </si>
  <si>
    <t>Total homes</t>
  </si>
  <si>
    <t xml:space="preserve">Owner Occupied </t>
  </si>
  <si>
    <t>Owner Occupied % (of total Owner Occupied properties in area)</t>
  </si>
  <si>
    <t>Privately Rented %  (of total Privately Rented properties within area)</t>
  </si>
  <si>
    <t>Total eligible homes</t>
  </si>
  <si>
    <t>Total Owner Occupied properties within area</t>
  </si>
  <si>
    <t>Total Privately Rented properties within area</t>
  </si>
  <si>
    <t>ECO HHCRO  and uninsulated cavity</t>
  </si>
  <si>
    <t>ECO HHCRO and uninsulated cavity % (of total eligible HHCRO homes)</t>
  </si>
  <si>
    <t>ECO HHCRO and solid wall</t>
  </si>
  <si>
    <t>ECO HHCRO and solid wall % (of total eligible HHCRO homes)</t>
  </si>
  <si>
    <t>ECO HHCRO and boiler</t>
  </si>
  <si>
    <t>ECO HHCRO and boiler % (of total eligible HHCRO homes)</t>
  </si>
  <si>
    <t xml:space="preserve">ECO HHCRO and loft </t>
  </si>
  <si>
    <t>ECO HHCRO and loft % (of total eligible HHCRO homes)</t>
  </si>
  <si>
    <t>ECO HHCRO and Hard to Treat Cavity</t>
  </si>
  <si>
    <t>ECO HHCRO and Hard to Treat Cavity % (of total eligible HHCRO homes)</t>
  </si>
  <si>
    <t>Total eligible measures</t>
  </si>
  <si>
    <t>Total eligible HHCRO homes</t>
  </si>
  <si>
    <t>Owner Occupied % (of total Owner Occupied properties within area)</t>
  </si>
  <si>
    <t>Council/Housing Association % (of total Council/Housing Association properties within area)</t>
  </si>
  <si>
    <t>Total Council/Housing Association properties within area</t>
  </si>
  <si>
    <t>ECO CSCO rural and uninsulated cavity</t>
  </si>
  <si>
    <t>ECO CSCO rural and uninsulated cavity % (of total eligible CSCO Rural homes)</t>
  </si>
  <si>
    <t>ECO CSCO rural and solid wall</t>
  </si>
  <si>
    <t>ECO CSCO rural and solid wall % (of total eligible CSCO Rural homes)</t>
  </si>
  <si>
    <t xml:space="preserve">ECO CSCO rural and 0-50mm loft </t>
  </si>
  <si>
    <t>ECO CSCO rural and 0-50mm loft % (of total eligible CSCO Rural homes)</t>
  </si>
  <si>
    <t>ECO CSCO rural and Hard to Treat Cavity</t>
  </si>
  <si>
    <t>ECO CSCO rural and Hard to Treat Cavity % (of total eligible CSCO Rural homes)</t>
  </si>
  <si>
    <t>Total eligible CSCO Rural homes</t>
  </si>
  <si>
    <t>Assumptions:</t>
  </si>
  <si>
    <t>Fuel</t>
  </si>
  <si>
    <t>Gas</t>
  </si>
  <si>
    <t>Oil</t>
  </si>
  <si>
    <t>Appliance</t>
  </si>
  <si>
    <t>Annual saving</t>
  </si>
  <si>
    <t>kWh</t>
  </si>
  <si>
    <t>A+ or A++</t>
  </si>
  <si>
    <t>Upright or chest freezer</t>
  </si>
  <si>
    <t>Refrigerator</t>
  </si>
  <si>
    <t>Dishwasher</t>
  </si>
  <si>
    <t>A</t>
  </si>
  <si>
    <t>Measure</t>
  </si>
  <si>
    <t>Cavity Wall Insulation</t>
  </si>
  <si>
    <t>not stated</t>
  </si>
  <si>
    <t>Double glazing ownership ('000s)</t>
  </si>
  <si>
    <t>&lt;20% rooms</t>
  </si>
  <si>
    <t>20-39%</t>
  </si>
  <si>
    <t>40-59%</t>
  </si>
  <si>
    <t>60-79%</t>
  </si>
  <si>
    <t>80%+</t>
  </si>
  <si>
    <t>total with DG</t>
  </si>
  <si>
    <t>Potential</t>
  </si>
  <si>
    <t>Solid Wall Insulation</t>
  </si>
  <si>
    <t xml:space="preserve">http://www.energysavingtrust.org.uk/Energy-Saving-Trust/Our-calculations </t>
  </si>
  <si>
    <t>General Assumptions Used for Calculations</t>
  </si>
  <si>
    <t> LPG</t>
  </si>
  <si>
    <t> Coal</t>
  </si>
  <si>
    <t> Electricity (Economy 7)</t>
  </si>
  <si>
    <t>Electricity (Standard rate)</t>
  </si>
  <si>
    <t>Average price (pence/kWh)</t>
  </si>
  <si>
    <t> 8.77</t>
  </si>
  <si>
    <t> 3.69</t>
  </si>
  <si>
    <t> 9.08</t>
  </si>
  <si>
    <r>
      <t>Carbon dioxide factor (kgCO</t>
    </r>
    <r>
      <rPr>
        <vertAlign val="subscript"/>
        <sz val="11"/>
        <color rgb="FF6D6E71"/>
        <rFont val="Arial"/>
        <family val="2"/>
      </rPr>
      <t>2</t>
    </r>
    <r>
      <rPr>
        <sz val="9.6"/>
        <color rgb="FF6D6E71"/>
        <rFont val="Arial"/>
        <family val="2"/>
      </rPr>
      <t>/kWh)</t>
    </r>
  </si>
  <si>
    <t>0.214 </t>
  </si>
  <si>
    <t>0.296 </t>
  </si>
  <si>
    <t>EU energy rating</t>
  </si>
  <si>
    <t>Annual saving (up to)</t>
  </si>
  <si>
    <t>Annual carbon dioxide saving (up to)</t>
  </si>
  <si>
    <t>Fridge freezer</t>
  </si>
  <si>
    <t>115kg</t>
  </si>
  <si>
    <t>80kg</t>
  </si>
  <si>
    <t>55kg</t>
  </si>
  <si>
    <t>25kg</t>
  </si>
  <si>
    <t>Old boiler rating</t>
  </si>
  <si>
    <t>Annual carbon dioxide saving</t>
  </si>
  <si>
    <t>G ( &lt; 70%)</t>
  </si>
  <si>
    <t>1,200kg</t>
  </si>
  <si>
    <t>F (70–74%)</t>
  </si>
  <si>
    <t>810kg</t>
  </si>
  <si>
    <t>E (74–78%)</t>
  </si>
  <si>
    <t>610kg</t>
  </si>
  <si>
    <t>D (78–82%)</t>
  </si>
  <si>
    <t>430kg</t>
  </si>
  <si>
    <t>Loft insulation (0 to 270mm)</t>
  </si>
  <si>
    <t>Loft insulation (100 to 270mm)</t>
  </si>
  <si>
    <t>Approximate saving per year</t>
  </si>
  <si>
    <t>up to £180</t>
  </si>
  <si>
    <t>Carbon dioxide saving per year</t>
  </si>
  <si>
    <t>Around 730kg</t>
  </si>
  <si>
    <t> Around 110kg</t>
  </si>
  <si>
    <t>Other insulation savings</t>
  </si>
  <si>
    <t>Cavity wall insulation</t>
  </si>
  <si>
    <t>Internal wall insulation</t>
  </si>
  <si>
    <t>to a U-value of 0.45 W/m²K</t>
  </si>
  <si>
    <t>External wall insulation</t>
  </si>
  <si>
    <t>to a U-value of 0.35 W/m2²K</t>
  </si>
  <si>
    <t>Double glazing </t>
  </si>
  <si>
    <t>EST-recommended</t>
  </si>
  <si>
    <t>Up to £140</t>
  </si>
  <si>
    <t>Around £460</t>
  </si>
  <si>
    <t>Around £490</t>
  </si>
  <si>
    <t>Around £170</t>
  </si>
  <si>
    <t>Around 560kg</t>
  </si>
  <si>
    <t>Around 1.8 tonnes</t>
  </si>
  <si>
    <t>Around 1.9 tonnes</t>
  </si>
  <si>
    <t>Around 680kg</t>
  </si>
  <si>
    <t>% Estimated</t>
  </si>
  <si>
    <t>HDD</t>
  </si>
  <si>
    <t>Month starting</t>
  </si>
  <si>
    <t>EGDB</t>
  </si>
  <si>
    <t>Station ID:</t>
  </si>
  <si>
    <t>Plymouth, GB (4.12W,50.35N)</t>
  </si>
  <si>
    <t>Station:</t>
  </si>
  <si>
    <t>Estimates were made to account for missing data: the "% Estimated" column shows how much each figure was affected (0% is best, 100% is worst)</t>
  </si>
  <si>
    <t>Accuracy:</t>
  </si>
  <si>
    <t>www.degreedays.net (using temperature data from www.wunderground.com)</t>
  </si>
  <si>
    <t>Source:</t>
  </si>
  <si>
    <t>Celsius-based heating degree days for a base temperature of 15.5C</t>
  </si>
  <si>
    <t>Description:</t>
  </si>
  <si>
    <t xml:space="preserve">http://www.degreedays.net/#generate </t>
  </si>
  <si>
    <t>Average degree days for past three years:</t>
  </si>
  <si>
    <t>degree days</t>
  </si>
  <si>
    <t>degree hours</t>
  </si>
  <si>
    <t>kilo degree hours</t>
  </si>
  <si>
    <t>m2</t>
  </si>
  <si>
    <t>Hard to fill</t>
  </si>
  <si>
    <t>Suitable cavity wall</t>
  </si>
  <si>
    <t>D/E boiler</t>
  </si>
  <si>
    <t>from EST</t>
  </si>
  <si>
    <t>Unit cost</t>
  </si>
  <si>
    <t>p</t>
  </si>
  <si>
    <t>assumes gas</t>
  </si>
  <si>
    <t>Energy saving</t>
  </si>
  <si>
    <t>including boiler losses</t>
  </si>
  <si>
    <t>Energy saving pa (GWh)</t>
  </si>
  <si>
    <t>All remaining not "hard to fill" cavities filled.</t>
  </si>
  <si>
    <t>of solid walled properties treated</t>
  </si>
  <si>
    <t>annual saving from internal insulation</t>
  </si>
  <si>
    <t>annual saving from external insulation</t>
  </si>
  <si>
    <t>external insulation</t>
  </si>
  <si>
    <t>internal insulation</t>
  </si>
  <si>
    <t>derived average cost saving</t>
  </si>
  <si>
    <t>Solid Wall measures</t>
  </si>
  <si>
    <t>0 to 270mm</t>
  </si>
  <si>
    <t>100 to 270mm</t>
  </si>
  <si>
    <t>kWh annual saving</t>
  </si>
  <si>
    <t>Number virgin Lofts</t>
  </si>
  <si>
    <t>Virgin loft savings (GWh)</t>
  </si>
  <si>
    <t>Number top-up lofts</t>
  </si>
  <si>
    <t>Top-up loft savings (GWh)</t>
  </si>
  <si>
    <t>0 to 50mm taken to mean equivalent to virgin loft</t>
  </si>
  <si>
    <t>50-150mm taken to need top-up</t>
  </si>
  <si>
    <t>Assumptions</t>
  </si>
  <si>
    <t>Data from BRE Domestic Energy Factfile (2008)</t>
  </si>
  <si>
    <t>U-value single glazing</t>
  </si>
  <si>
    <t>U-value double glazing</t>
  </si>
  <si>
    <t>U-value triple glazing</t>
  </si>
  <si>
    <t>W/m2.K</t>
  </si>
  <si>
    <t>assumes whole house</t>
  </si>
  <si>
    <t>for a whole house from single to double including boiler losses</t>
  </si>
  <si>
    <t>for a whole house from double to triple including boiler losses</t>
  </si>
  <si>
    <t>Assume all homes go from single to double (or secondary)</t>
  </si>
  <si>
    <t>From combining the two tables above:</t>
  </si>
  <si>
    <t>Proportion with 10% of house double</t>
  </si>
  <si>
    <t>Proportion with 30% of house double</t>
  </si>
  <si>
    <t>Proportion with 50% of house double</t>
  </si>
  <si>
    <t>Proportion with 70% of house double</t>
  </si>
  <si>
    <t>Potential saving (GWh)</t>
  </si>
  <si>
    <t>Total properties</t>
  </si>
  <si>
    <t>Total homes to address single to double</t>
  </si>
  <si>
    <t>Total homes to address double to triple</t>
  </si>
  <si>
    <t>Total Savings Single to Triple (GWh)</t>
  </si>
  <si>
    <t>Total Savings Single to Double (GWh)</t>
  </si>
  <si>
    <r>
      <rPr>
        <u/>
        <sz val="11"/>
        <color theme="1"/>
        <rFont val="Calibri"/>
        <family val="2"/>
        <scheme val="minor"/>
      </rPr>
      <t>Then</t>
    </r>
    <r>
      <rPr>
        <sz val="11"/>
        <color theme="1"/>
        <rFont val="Calibri"/>
        <family val="2"/>
        <scheme val="minor"/>
      </rPr>
      <t xml:space="preserve"> assume all homes go from double to triple</t>
    </r>
  </si>
  <si>
    <t>m3/person/hour</t>
  </si>
  <si>
    <t>Ventilation rate</t>
  </si>
  <si>
    <t>Take-up</t>
  </si>
  <si>
    <t>Installations</t>
  </si>
  <si>
    <t>MVHR Energy Reduction (GWh)</t>
  </si>
  <si>
    <t>Density of air</t>
  </si>
  <si>
    <t>kg/m3</t>
  </si>
  <si>
    <t>J/kg.K</t>
  </si>
  <si>
    <t>Speficic heat capacity</t>
  </si>
  <si>
    <t>1st September to 30th April only</t>
  </si>
  <si>
    <t>Assume on from 1st September to 30th April</t>
  </si>
  <si>
    <t>Assume on 24 hours per day during that period</t>
  </si>
  <si>
    <t>Heat recovery efficiency</t>
  </si>
  <si>
    <t>Power consumption</t>
  </si>
  <si>
    <t>W</t>
  </si>
  <si>
    <t>based on Focus200 unit at 75 m3/hour</t>
  </si>
  <si>
    <t>Ventilation rate [m3/h]</t>
  </si>
  <si>
    <t>Mass flow [kg/h]</t>
  </si>
  <si>
    <t>Degree hours</t>
  </si>
  <si>
    <t>september to april</t>
  </si>
  <si>
    <t>Energy flow [J/k]</t>
  </si>
  <si>
    <t>Total heat loss  [GWh]</t>
  </si>
  <si>
    <t>Energy flow [kWh/k]</t>
  </si>
  <si>
    <t>Total heat recovered  [GWh]</t>
  </si>
  <si>
    <t>Total electricity used for fan [GWh]</t>
  </si>
  <si>
    <t>Typical house area</t>
  </si>
  <si>
    <t>Typical height</t>
  </si>
  <si>
    <t>Typical volume</t>
  </si>
  <si>
    <t>Typical ventilation rate</t>
  </si>
  <si>
    <t>Properties</t>
  </si>
  <si>
    <t>Total net MVHR Energy Saving [GWh]</t>
  </si>
  <si>
    <t>Number of Measures</t>
  </si>
  <si>
    <t>Energy Saving (GWh)</t>
  </si>
  <si>
    <t>Virgin Loft Insulation</t>
  </si>
  <si>
    <t>Top-up Loft Insulation</t>
  </si>
  <si>
    <t>Single to Double Glazing</t>
  </si>
  <si>
    <t>Double to Triple Glazing</t>
  </si>
  <si>
    <t>m3</t>
  </si>
  <si>
    <t>Assumed improved infiltration</t>
  </si>
  <si>
    <t>m3/h/m2 @ 50Pa</t>
  </si>
  <si>
    <t>ACR50 divisor</t>
  </si>
  <si>
    <t>from CIBSE Guide A for two-storey dwelling</t>
  </si>
  <si>
    <t>Infiltration rate initial</t>
  </si>
  <si>
    <t>Infiltration rate final</t>
  </si>
  <si>
    <t>ac/h</t>
  </si>
  <si>
    <t>Infiltration reduction</t>
  </si>
  <si>
    <t>Mass flow</t>
  </si>
  <si>
    <t>Energy Flow</t>
  </si>
  <si>
    <t>Ventilation recudtion</t>
  </si>
  <si>
    <t>m3/h</t>
  </si>
  <si>
    <t>kg/h</t>
  </si>
  <si>
    <t>J/K</t>
  </si>
  <si>
    <t>kWh/K</t>
  </si>
  <si>
    <t>Degree hours during heating season</t>
  </si>
  <si>
    <t>kWh/year</t>
  </si>
  <si>
    <t>Energy saved</t>
  </si>
  <si>
    <t>EST assumed saving</t>
  </si>
  <si>
    <t>per annum</t>
  </si>
  <si>
    <t>kWh per annum</t>
  </si>
  <si>
    <t>Current to improved</t>
  </si>
  <si>
    <t>Improved to advanced</t>
  </si>
  <si>
    <t>Assumed advanced infiltration</t>
  </si>
  <si>
    <t>Draughtproofing Energy Reduction Current to Improved (GWh)</t>
  </si>
  <si>
    <t>Draughtproofing Energy Reduction Improved to advanced (GWh)</t>
  </si>
  <si>
    <t>Current to Improved Draught proofing</t>
  </si>
  <si>
    <t>Improved to Advanced Draught proofing</t>
  </si>
  <si>
    <t>MVHR</t>
  </si>
  <si>
    <t>of hard to treat cavity walls</t>
  </si>
  <si>
    <t>Hard to Fill Cavities</t>
  </si>
  <si>
    <t>Not considered as replacing old boiler with fossil fuel boiler is contratry to renewable energy resource assessment which assumes maximum take-up for heat pumps and biomass boilers.</t>
  </si>
  <si>
    <t>Ownership of draught proofing ('00s)</t>
  </si>
  <si>
    <t>total with DP</t>
  </si>
  <si>
    <t>From BRE Domestic Energy Factfile</t>
  </si>
  <si>
    <t>Assumed potential saving</t>
  </si>
  <si>
    <t>Potential weighted "take-up"</t>
  </si>
  <si>
    <t>current to improved</t>
  </si>
  <si>
    <t>improved to advanced</t>
  </si>
  <si>
    <t>Current potential to improve based on BRE split of rooms with draughtproofing</t>
  </si>
  <si>
    <t>Take-up of improved to advanced assumes there is potential to further improve infiltration to every home.</t>
  </si>
  <si>
    <t>Annual cost saving</t>
  </si>
  <si>
    <t>for replacing a whole house</t>
  </si>
  <si>
    <t>Electricity unit price</t>
  </si>
  <si>
    <t>Gas unit price</t>
  </si>
  <si>
    <t>p/kWh</t>
  </si>
  <si>
    <t>Useful heat gain from lights</t>
  </si>
  <si>
    <t>Source</t>
  </si>
  <si>
    <t>Replace GLS with CFL</t>
  </si>
  <si>
    <t>Replace halogen with LED</t>
  </si>
  <si>
    <t>Saving p.a.</t>
  </si>
  <si>
    <t>Assumption</t>
  </si>
  <si>
    <t>assume 60W replaced with 11W used every night 50 weeks per year for 2 hours</t>
  </si>
  <si>
    <t>From EST Powering the Nation Report, number of blulbs per home</t>
  </si>
  <si>
    <t>Indandescent</t>
  </si>
  <si>
    <t>Halogen total</t>
  </si>
  <si>
    <t>Number per home</t>
  </si>
  <si>
    <t>Electricity saving per home</t>
  </si>
  <si>
    <t>Fossil increase per home</t>
  </si>
  <si>
    <t>Net saving per home</t>
  </si>
  <si>
    <t>Electricity saved (kWh)</t>
  </si>
  <si>
    <t>Fossil lost (kWh)</t>
  </si>
  <si>
    <t>Net saving (kWh)</t>
  </si>
  <si>
    <t>Total saving</t>
  </si>
  <si>
    <t>Lighting Replacements</t>
  </si>
  <si>
    <t>Area</t>
  </si>
  <si>
    <t>Row Labels</t>
  </si>
  <si>
    <t>Grand Total</t>
  </si>
  <si>
    <t>Values</t>
  </si>
  <si>
    <t>Gas price</t>
  </si>
  <si>
    <t>LOFT INSULATION LEVEL</t>
  </si>
  <si>
    <t>% fuel poor South Hams</t>
  </si>
  <si>
    <t>% fuel poor West Devon</t>
  </si>
  <si>
    <t>% fuel poor Dartmoor</t>
  </si>
  <si>
    <t>% fuel poor SW Devon</t>
  </si>
  <si>
    <t>from CSE data</t>
  </si>
  <si>
    <t>averate of fuel poverty from any LSOA with a Dartmoor fraction</t>
  </si>
  <si>
    <t>All homes except those in fuel poverty</t>
  </si>
  <si>
    <t>averate of fuel poverty from any LSOA within SW Devon with Teignmouth including any LSOA with any fraction in Dartmoor</t>
  </si>
  <si>
    <t>Turning Down Thermostat 1oC</t>
  </si>
  <si>
    <t>Insulation to tanks and Primary Circuits</t>
  </si>
  <si>
    <t>Hot water tank</t>
  </si>
  <si>
    <t>25mm or less</t>
  </si>
  <si>
    <t>50mm</t>
  </si>
  <si>
    <t>75mm</t>
  </si>
  <si>
    <t>&gt;75mm</t>
  </si>
  <si>
    <t>total with insulation</t>
  </si>
  <si>
    <t>potential</t>
  </si>
  <si>
    <t>total households</t>
  </si>
  <si>
    <t>Hot water tank insulation</t>
  </si>
  <si>
    <t>Total tanks with potential</t>
  </si>
  <si>
    <t>tank insulation</t>
  </si>
  <si>
    <t>primary circuit insulation</t>
  </si>
  <si>
    <t>Annual energy saving</t>
  </si>
  <si>
    <t>potetnial of homes with tanks requiring insulation</t>
  </si>
  <si>
    <t>potetnial ofall homes requiring insulation to tanks</t>
  </si>
  <si>
    <t>Estimated Infiltration Rates</t>
  </si>
  <si>
    <t>Current</t>
  </si>
  <si>
    <t>Improved</t>
  </si>
  <si>
    <t>Advanced</t>
  </si>
  <si>
    <t>Occupant density</t>
  </si>
  <si>
    <t>Population</t>
  </si>
  <si>
    <t>Homes</t>
  </si>
  <si>
    <t>m3/h/person</t>
  </si>
  <si>
    <t>air changes per hour: Assumes advanced infiltration control has been taken up initially</t>
  </si>
  <si>
    <t>Improvement</t>
  </si>
  <si>
    <t>Saving</t>
  </si>
  <si>
    <t>Elec saving (kWh)</t>
  </si>
  <si>
    <t>Fossil Loss(kWh)</t>
  </si>
  <si>
    <t>Net Saving (kWh)</t>
  </si>
  <si>
    <t>Current uptake: from CCC 2012 report (2011 data)</t>
  </si>
  <si>
    <t>Cold appliances A++ rated</t>
  </si>
  <si>
    <t>Wet appliances A+ rated</t>
  </si>
  <si>
    <t>A++ Fridges and Freezers(GWh)</t>
  </si>
  <si>
    <t>Number of appliances per home - estimated from sample sizes in EST monitoring trial</t>
  </si>
  <si>
    <t>Fridge-freezer</t>
  </si>
  <si>
    <t>Fridge</t>
  </si>
  <si>
    <t>Freezer (upright + chest)</t>
  </si>
  <si>
    <t>Cold appliance weighted saving</t>
  </si>
  <si>
    <t>number</t>
  </si>
  <si>
    <t>weighted saving (kWh)</t>
  </si>
  <si>
    <t>Number homes</t>
  </si>
  <si>
    <t>kWh per appliance</t>
  </si>
  <si>
    <t>kWh per home</t>
  </si>
  <si>
    <t>Washing mashine</t>
  </si>
  <si>
    <t>Clothes Dryer</t>
  </si>
  <si>
    <t>A+ Laundry (GWh)</t>
  </si>
  <si>
    <t>A Dishwashers (GWh)</t>
  </si>
  <si>
    <t>assume for laundry and dishwashers</t>
  </si>
  <si>
    <t>Washing Machine</t>
  </si>
  <si>
    <t>Tumble dryer</t>
  </si>
  <si>
    <t>Washer dryer</t>
  </si>
  <si>
    <t>Washer Dryer</t>
  </si>
  <si>
    <t>Cold Goods:</t>
  </si>
  <si>
    <t>Laundry:</t>
  </si>
  <si>
    <t>Appliances: Fridges and Freezers</t>
  </si>
  <si>
    <t>Appliances: Dishwashers</t>
  </si>
  <si>
    <t>Appliances: Laundry</t>
  </si>
  <si>
    <t>Sum of Solid Wall Insulation</t>
  </si>
  <si>
    <t>Sum of Virgin Loft Insulation</t>
  </si>
  <si>
    <t>Sum of Cavity Wall Insulation</t>
  </si>
  <si>
    <t>Sum of Top-up Loft Insulation</t>
  </si>
  <si>
    <t>Sum of Single to Double Glazing</t>
  </si>
  <si>
    <t>Sum of Double to Triple Glazing</t>
  </si>
  <si>
    <t>Sum of Current to Improved Draught proofing</t>
  </si>
  <si>
    <t>Sum of Improved to Advanced Draught proofing</t>
  </si>
  <si>
    <t>Sum of MVHR</t>
  </si>
  <si>
    <t>Sum of Insulation to tanks and Primary Circuits</t>
  </si>
  <si>
    <t>Sum of Lighting Replacements</t>
  </si>
  <si>
    <t>Sum of Appliances: Fridges and Freezers</t>
  </si>
  <si>
    <t>Sum of Appliances: Dishwashers</t>
  </si>
  <si>
    <t>Sum of Appliances: Laundry</t>
  </si>
  <si>
    <t>Sum of Turning Down Thermostat 1oC</t>
  </si>
  <si>
    <t>Baseline Energy</t>
  </si>
  <si>
    <t>Sum of Baseline Energy</t>
  </si>
  <si>
    <t>assumes current "leaky" homes</t>
  </si>
  <si>
    <t>assumes Part L minimum standard</t>
  </si>
  <si>
    <t>Assumes good level of airtightness (note : Passivhaus is &lt;1)</t>
  </si>
  <si>
    <t>Assumed current infiltration - no draughtproofing</t>
  </si>
  <si>
    <t>standby</t>
  </si>
  <si>
    <t>Average energy use per typical household from EST Powering the Nation Report</t>
  </si>
  <si>
    <t>Sample size</t>
  </si>
  <si>
    <t>Oven</t>
  </si>
  <si>
    <t>Cooker</t>
  </si>
  <si>
    <t>Hob</t>
  </si>
  <si>
    <t>Microwave</t>
  </si>
  <si>
    <t>Kettle</t>
  </si>
  <si>
    <t>Bottle Warmer</t>
  </si>
  <si>
    <t>Bread Maker</t>
  </si>
  <si>
    <t>Coffee Machine</t>
  </si>
  <si>
    <t>Extractor Hood</t>
  </si>
  <si>
    <t>Food Mixer</t>
  </si>
  <si>
    <t>Food steamer</t>
  </si>
  <si>
    <t>Fryer</t>
  </si>
  <si>
    <t>Grill</t>
  </si>
  <si>
    <t>Toaster</t>
  </si>
  <si>
    <t>Yoghurt Maker</t>
  </si>
  <si>
    <t>water heating</t>
  </si>
  <si>
    <t>Number</t>
  </si>
  <si>
    <t>Energy use Base</t>
  </si>
  <si>
    <t>% reduction</t>
  </si>
  <si>
    <t>New Energy</t>
  </si>
  <si>
    <t>Total</t>
  </si>
  <si>
    <t>Assume 1 in 4 oven meals cooked in microwave by cooking larger batches and reheating</t>
  </si>
  <si>
    <t>Lids on pans - "more than a quarter of energy lost without lids"</t>
  </si>
  <si>
    <t>"Two thirds of us boil twice as much as we need".  Assume this is the case, and the rest boil the right amount.  Assume of the "twice as much", 20% is useful for reboiling later http://www.dothegreenthing.com/wiki/display/WIKI/Don't+overfill+your+kettle#Footnote3</t>
  </si>
  <si>
    <t>Assume no change</t>
  </si>
  <si>
    <t>Assume one in five coffees replaced with cold beverage</t>
  </si>
  <si>
    <t>Assume 1 in 4 oven meals cooked in microwave by cooking larger batches and reheating, plus additional equivalent hob saving as stated below from covering pans</t>
  </si>
  <si>
    <t>Cooking Energy Savin (GWh)</t>
  </si>
  <si>
    <t>summary</t>
  </si>
  <si>
    <t>computer</t>
  </si>
  <si>
    <t>other</t>
  </si>
  <si>
    <t>AV site</t>
  </si>
  <si>
    <t>TV Analysis</t>
  </si>
  <si>
    <t>Type</t>
  </si>
  <si>
    <t>Power</t>
  </si>
  <si>
    <t>% Time</t>
  </si>
  <si>
    <t>On</t>
  </si>
  <si>
    <t>Standby</t>
  </si>
  <si>
    <t>Off</t>
  </si>
  <si>
    <t>CRT</t>
  </si>
  <si>
    <t>LCD</t>
  </si>
  <si>
    <t>Plasma</t>
  </si>
  <si>
    <t>LED - Samsung LED 32"</t>
  </si>
  <si>
    <t>AV Site (DVDs, VCRs, set-top boxes, game consoles and home cinema )</t>
  </si>
  <si>
    <t>single pensioner</t>
  </si>
  <si>
    <t>single non-pensioner</t>
  </si>
  <si>
    <t>multiple pensioner</t>
  </si>
  <si>
    <t>household w/children</t>
  </si>
  <si>
    <t>household wo/children</t>
  </si>
  <si>
    <t>Energy kWh)</t>
  </si>
  <si>
    <t>Energy no standby</t>
  </si>
  <si>
    <t>assume behaviour same as LCD TV</t>
  </si>
  <si>
    <t>Number of appliances - read from graphs</t>
  </si>
  <si>
    <t>Group</t>
  </si>
  <si>
    <t>CRT TV</t>
  </si>
  <si>
    <t>LCD TV</t>
  </si>
  <si>
    <t>Plasma TV</t>
  </si>
  <si>
    <t>TVs</t>
  </si>
  <si>
    <t>Total in study</t>
  </si>
  <si>
    <t>From Graph</t>
  </si>
  <si>
    <t>Apportioned</t>
  </si>
  <si>
    <t>AV Energy Saving (GWh)</t>
  </si>
  <si>
    <t>AV site turned from standby to off</t>
  </si>
  <si>
    <t>CRT replaced with 32" LED with no standby consumption used</t>
  </si>
  <si>
    <t>Plasma replaced with 32" LED with no standby consumption used</t>
  </si>
  <si>
    <t>LCD behaviour standby time eliminated</t>
  </si>
  <si>
    <t>Computer Energy Saving (GWh)</t>
  </si>
  <si>
    <t xml:space="preserve">Computer site is all desktops, laptops, modems, printers, scanners and monitors. In the majority of cases, the ‘computer site’ consisted of a central processing unit (CPU), a monitor and a printer, as well as a modem/ADSL box. </t>
  </si>
  <si>
    <t>Computer site</t>
  </si>
  <si>
    <t>Desktop</t>
  </si>
  <si>
    <t>Laptop</t>
  </si>
  <si>
    <t>Laptops</t>
  </si>
  <si>
    <t>Desktops</t>
  </si>
  <si>
    <t>Average kWh</t>
  </si>
  <si>
    <t>from report - used to scale up bottom-up derived values</t>
  </si>
  <si>
    <t>Total weighted</t>
  </si>
  <si>
    <t>kWh weighted computer value</t>
  </si>
  <si>
    <t>Computer site ex computer</t>
  </si>
  <si>
    <t>Computer site turned from standby to off</t>
  </si>
  <si>
    <t>Assume proportional savings from standby to off made for both computer site and computers alone</t>
  </si>
  <si>
    <t>Replace desktops with laptops and never use standby</t>
  </si>
  <si>
    <t>Always turn off rather than standby laptops</t>
  </si>
  <si>
    <t>https://www.google.co.uk/url?sa=t&amp;rct=j&amp;q=&amp;esrc=s&amp;source=web&amp;cd=3&amp;ved=0CEIQFjAC&amp;url=http%3A%2F%2Fefficient-products.defra.gov.uk%2Fspm%2Fdownload%2Fdocument%2Fid%2F579&amp;ei=KWJAUcXSDein0AWHmIHQAg&amp;usg=AFQjCNGjBqEwid9EyjBkeRfyxEXSINqOZQ&amp;bvm=bv.43287494,d.d2k</t>
  </si>
  <si>
    <t>Lighting</t>
  </si>
  <si>
    <t>Cold goods</t>
  </si>
  <si>
    <t>Cooking</t>
  </si>
  <si>
    <t>Wet goods</t>
  </si>
  <si>
    <t>Consumer electronics and standby</t>
  </si>
  <si>
    <t>HRF cold goods</t>
  </si>
  <si>
    <t>HRF wet goods</t>
  </si>
  <si>
    <t>HRF</t>
  </si>
  <si>
    <t>Energy saved per house</t>
  </si>
  <si>
    <t>Energy to be made-up</t>
  </si>
  <si>
    <t>Net energy saving</t>
  </si>
  <si>
    <t>Assume all heat is lost through plug hole</t>
  </si>
  <si>
    <t>Average shower length is 8 minutes.  Assume this is reduced to 5 minutes</t>
  </si>
  <si>
    <t>Hot water ex. Shower</t>
  </si>
  <si>
    <t>Assume 10% saving due to better awareness of runnign taps</t>
  </si>
  <si>
    <t>Shower flow</t>
  </si>
  <si>
    <t>Shower time</t>
  </si>
  <si>
    <t>Assume flow rate reduced from 12 l/minute to 8 litres per minute through aerating shower heads</t>
  </si>
  <si>
    <t>Proportion of showers to bath</t>
  </si>
  <si>
    <t>estimate</t>
  </si>
  <si>
    <t>Hot Water Energy Saving (GWh)</t>
  </si>
  <si>
    <t>Shower water use per day 12 l/s</t>
  </si>
  <si>
    <t>Bath water use per day</t>
  </si>
  <si>
    <t>l</t>
  </si>
  <si>
    <t>Assume a household is fitted with 1 shower and 1 bath</t>
  </si>
  <si>
    <t>Estimate of proprtion of hot water as showers compared to baths</t>
  </si>
  <si>
    <t>EST field trials</t>
  </si>
  <si>
    <t>Average of washing machine and tumble dryer taken</t>
  </si>
  <si>
    <t>Appliances: Cooking</t>
  </si>
  <si>
    <t>Appliances: Audio-Visual</t>
  </si>
  <si>
    <t>Appliances: Computers</t>
  </si>
  <si>
    <t>Hot Water Measures</t>
  </si>
  <si>
    <t>Sum of Appliances: Cooking</t>
  </si>
  <si>
    <t>Sum of Appliances: Audio-Visual</t>
  </si>
  <si>
    <t>Sum of Appliances: Computers</t>
  </si>
  <si>
    <t>Sum of Hot Water Measures</t>
  </si>
  <si>
    <t>Average lighting household energy</t>
  </si>
  <si>
    <t>% household load incandescent</t>
  </si>
  <si>
    <t>% household load halogen</t>
  </si>
  <si>
    <t>Assume each type is used equally</t>
  </si>
  <si>
    <t>Assumes Halogen replaced with LED and GLS with CFL</t>
  </si>
  <si>
    <t>Efficiency factor</t>
  </si>
  <si>
    <t>Energy at stake</t>
  </si>
  <si>
    <t>Net saving</t>
  </si>
  <si>
    <t>Other generic info (not used)</t>
  </si>
  <si>
    <t>Remove listed building calc.</t>
  </si>
  <si>
    <t>Number of listed buildings</t>
  </si>
  <si>
    <t>% as homes</t>
  </si>
  <si>
    <t>estimates</t>
  </si>
  <si>
    <t>Listed homes</t>
  </si>
  <si>
    <t>from 2011 census</t>
  </si>
  <si>
    <t>Homes in England</t>
  </si>
  <si>
    <t>% homes listed</t>
  </si>
  <si>
    <t>Assume no cavity wall homes are listed (due to age)</t>
  </si>
  <si>
    <t>Total Homes</t>
  </si>
  <si>
    <t>Solid Wall Homes</t>
  </si>
  <si>
    <t>Estimated listed</t>
  </si>
  <si>
    <t>Unlisted Solid Walls</t>
  </si>
  <si>
    <t>Estimated unlisted solid wall</t>
  </si>
  <si>
    <t xml:space="preserve">note: it has been shown that this is also a reasonable value which oculd be achieved by secondary glazing http://www.historic-scotland.gov.uk/thermal-windows.pdf  </t>
  </si>
  <si>
    <t xml:space="preserve"> </t>
  </si>
  <si>
    <t>Estimate of current TV energy use</t>
  </si>
  <si>
    <t>HHRCO</t>
  </si>
  <si>
    <t>CSCO Rural</t>
  </si>
  <si>
    <t>Total Measures</t>
  </si>
  <si>
    <t>% of Total potential</t>
  </si>
  <si>
    <t>Lighting Savings (GWh)</t>
  </si>
</sst>
</file>

<file path=xl/styles.xml><?xml version="1.0" encoding="utf-8"?>
<styleSheet xmlns="http://schemas.openxmlformats.org/spreadsheetml/2006/main">
  <numFmts count="6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0.0"/>
    <numFmt numFmtId="165" formatCode="&quot;£&quot;#,##0.00"/>
    <numFmt numFmtId="166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.6"/>
      <color rgb="FF6D6E71"/>
      <name val="Arial"/>
      <family val="2"/>
    </font>
    <font>
      <b/>
      <sz val="11"/>
      <color rgb="FF6D6E71"/>
      <name val="Arial"/>
      <family val="2"/>
    </font>
    <font>
      <vertAlign val="subscript"/>
      <sz val="11"/>
      <color rgb="FF6D6E71"/>
      <name val="Arial"/>
      <family val="2"/>
    </font>
    <font>
      <sz val="13.75"/>
      <color rgb="FF6D6E71"/>
      <name val="Arial"/>
      <family val="2"/>
    </font>
    <font>
      <sz val="11"/>
      <color rgb="FF6D6E71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7E8"/>
        <bgColor indexed="64"/>
      </patternFill>
    </fill>
  </fills>
  <borders count="1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5" fillId="0" borderId="0"/>
    <xf numFmtId="0" fontId="7" fillId="0" borderId="0" applyNumberFormat="0" applyFont="0" applyFill="0" applyBorder="0" applyProtection="0"/>
    <xf numFmtId="0" fontId="7" fillId="0" borderId="0" applyNumberFormat="0" applyFont="0" applyFill="0" applyBorder="0" applyProtection="0"/>
    <xf numFmtId="0" fontId="7" fillId="0" borderId="0" applyNumberFormat="0" applyFont="0" applyFill="0" applyBorder="0" applyProtection="0"/>
    <xf numFmtId="0" fontId="7" fillId="0" borderId="0"/>
    <xf numFmtId="0" fontId="7" fillId="0" borderId="0"/>
    <xf numFmtId="0" fontId="1" fillId="0" borderId="0"/>
    <xf numFmtId="0" fontId="6" fillId="0" borderId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/>
    <xf numFmtId="0" fontId="0" fillId="0" borderId="0" xfId="0" applyAlignment="1">
      <alignment horizontal="center" wrapText="1"/>
    </xf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indent="1"/>
    </xf>
    <xf numFmtId="0" fontId="0" fillId="2" borderId="1" xfId="0" applyNumberFormat="1" applyFill="1" applyBorder="1" applyAlignment="1">
      <alignment horizontal="center" wrapText="1"/>
    </xf>
    <xf numFmtId="9" fontId="1" fillId="2" borderId="1" xfId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indent="1"/>
    </xf>
    <xf numFmtId="0" fontId="4" fillId="2" borderId="1" xfId="0" applyNumberFormat="1" applyFont="1" applyFill="1" applyBorder="1" applyAlignment="1">
      <alignment horizontal="center" wrapText="1"/>
    </xf>
    <xf numFmtId="9" fontId="4" fillId="2" borderId="1" xfId="1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0" fontId="8" fillId="0" borderId="0" xfId="15"/>
    <xf numFmtId="0" fontId="9" fillId="0" borderId="0" xfId="0" applyFont="1"/>
    <xf numFmtId="9" fontId="0" fillId="0" borderId="0" xfId="0" applyNumberFormat="1"/>
    <xf numFmtId="6" fontId="0" fillId="0" borderId="0" xfId="0" applyNumberFormat="1"/>
    <xf numFmtId="1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9" fontId="0" fillId="0" borderId="0" xfId="1" applyFon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10" fillId="0" borderId="0" xfId="0" applyFont="1"/>
    <xf numFmtId="0" fontId="12" fillId="4" borderId="2" xfId="0" applyFont="1" applyFill="1" applyBorder="1" applyAlignment="1">
      <alignment vertical="top" wrapText="1" indent="1"/>
    </xf>
    <xf numFmtId="0" fontId="12" fillId="4" borderId="3" xfId="0" applyFont="1" applyFill="1" applyBorder="1" applyAlignment="1">
      <alignment vertical="top" wrapText="1" indent="1"/>
    </xf>
    <xf numFmtId="0" fontId="12" fillId="4" borderId="4" xfId="0" applyFont="1" applyFill="1" applyBorder="1" applyAlignment="1">
      <alignment vertical="top" wrapText="1" indent="1"/>
    </xf>
    <xf numFmtId="0" fontId="11" fillId="5" borderId="5" xfId="0" applyFont="1" applyFill="1" applyBorder="1" applyAlignment="1">
      <alignment vertical="top" wrapText="1" indent="1"/>
    </xf>
    <xf numFmtId="0" fontId="11" fillId="5" borderId="0" xfId="0" applyFont="1" applyFill="1" applyBorder="1" applyAlignment="1">
      <alignment vertical="top" wrapText="1" indent="1"/>
    </xf>
    <xf numFmtId="0" fontId="11" fillId="5" borderId="6" xfId="0" applyFont="1" applyFill="1" applyBorder="1" applyAlignment="1">
      <alignment vertical="top" wrapText="1" indent="1"/>
    </xf>
    <xf numFmtId="0" fontId="11" fillId="4" borderId="7" xfId="0" applyFont="1" applyFill="1" applyBorder="1" applyAlignment="1">
      <alignment vertical="top" wrapText="1" indent="1"/>
    </xf>
    <xf numFmtId="0" fontId="11" fillId="4" borderId="8" xfId="0" applyFont="1" applyFill="1" applyBorder="1" applyAlignment="1">
      <alignment vertical="top" wrapText="1" indent="1"/>
    </xf>
    <xf numFmtId="0" fontId="11" fillId="4" borderId="9" xfId="0" applyFont="1" applyFill="1" applyBorder="1" applyAlignment="1">
      <alignment vertical="top" wrapText="1" indent="1"/>
    </xf>
    <xf numFmtId="6" fontId="11" fillId="5" borderId="0" xfId="0" applyNumberFormat="1" applyFont="1" applyFill="1" applyBorder="1" applyAlignment="1">
      <alignment vertical="top" wrapText="1" indent="1"/>
    </xf>
    <xf numFmtId="0" fontId="11" fillId="4" borderId="5" xfId="0" applyFont="1" applyFill="1" applyBorder="1" applyAlignment="1">
      <alignment vertical="top" wrapText="1" indent="1"/>
    </xf>
    <xf numFmtId="0" fontId="11" fillId="4" borderId="0" xfId="0" applyFont="1" applyFill="1" applyBorder="1" applyAlignment="1">
      <alignment vertical="top" wrapText="1" indent="1"/>
    </xf>
    <xf numFmtId="6" fontId="11" fillId="4" borderId="0" xfId="0" applyNumberFormat="1" applyFont="1" applyFill="1" applyBorder="1" applyAlignment="1">
      <alignment vertical="top" wrapText="1" indent="1"/>
    </xf>
    <xf numFmtId="0" fontId="11" fillId="4" borderId="6" xfId="0" applyFont="1" applyFill="1" applyBorder="1" applyAlignment="1">
      <alignment vertical="top" wrapText="1" indent="1"/>
    </xf>
    <xf numFmtId="6" fontId="11" fillId="4" borderId="8" xfId="0" applyNumberFormat="1" applyFont="1" applyFill="1" applyBorder="1" applyAlignment="1">
      <alignment vertical="top" wrapText="1" indent="1"/>
    </xf>
    <xf numFmtId="0" fontId="12" fillId="5" borderId="5" xfId="0" applyFont="1" applyFill="1" applyBorder="1" applyAlignment="1">
      <alignment vertical="top" wrapText="1" indent="1"/>
    </xf>
    <xf numFmtId="6" fontId="11" fillId="5" borderId="6" xfId="0" applyNumberFormat="1" applyFont="1" applyFill="1" applyBorder="1" applyAlignment="1">
      <alignment vertical="top" wrapText="1" indent="1"/>
    </xf>
    <xf numFmtId="0" fontId="12" fillId="4" borderId="7" xfId="0" applyFont="1" applyFill="1" applyBorder="1" applyAlignment="1">
      <alignment vertical="top" wrapText="1" indent="1"/>
    </xf>
    <xf numFmtId="0" fontId="14" fillId="0" borderId="2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2" fillId="4" borderId="0" xfId="0" applyFont="1" applyFill="1" applyBorder="1" applyAlignment="1">
      <alignment vertical="top" wrapText="1" indent="1"/>
    </xf>
    <xf numFmtId="0" fontId="12" fillId="4" borderId="6" xfId="0" applyFont="1" applyFill="1" applyBorder="1" applyAlignment="1">
      <alignment vertical="top" wrapText="1" indent="1"/>
    </xf>
    <xf numFmtId="0" fontId="15" fillId="4" borderId="0" xfId="0" applyFont="1" applyFill="1" applyBorder="1" applyAlignment="1">
      <alignment vertical="top" wrapText="1" indent="1"/>
    </xf>
    <xf numFmtId="0" fontId="15" fillId="4" borderId="6" xfId="0" applyFont="1" applyFill="1" applyBorder="1" applyAlignment="1">
      <alignment vertical="top" wrapText="1" indent="1"/>
    </xf>
    <xf numFmtId="14" fontId="0" fillId="0" borderId="0" xfId="0" applyNumberFormat="1"/>
    <xf numFmtId="0" fontId="2" fillId="3" borderId="11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8" fontId="0" fillId="0" borderId="0" xfId="0" applyNumberFormat="1"/>
    <xf numFmtId="1" fontId="0" fillId="0" borderId="0" xfId="0" applyNumberFormat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0" fontId="0" fillId="0" borderId="0" xfId="0" applyFont="1"/>
    <xf numFmtId="0" fontId="4" fillId="2" borderId="0" xfId="0" applyFont="1" applyFill="1" applyBorder="1" applyAlignment="1">
      <alignment horizontal="left" indent="1"/>
    </xf>
    <xf numFmtId="1" fontId="4" fillId="2" borderId="0" xfId="0" applyNumberFormat="1" applyFont="1" applyFill="1" applyBorder="1" applyAlignment="1">
      <alignment horizontal="center" wrapText="1"/>
    </xf>
    <xf numFmtId="164" fontId="4" fillId="2" borderId="0" xfId="0" applyNumberFormat="1" applyFont="1" applyFill="1" applyBorder="1" applyAlignment="1">
      <alignment horizontal="center" wrapText="1"/>
    </xf>
    <xf numFmtId="0" fontId="0" fillId="0" borderId="0" xfId="0" applyNumberFormat="1"/>
    <xf numFmtId="1" fontId="2" fillId="2" borderId="15" xfId="0" applyNumberFormat="1" applyFont="1" applyFill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166" fontId="0" fillId="0" borderId="0" xfId="1" applyNumberFormat="1" applyFont="1"/>
    <xf numFmtId="10" fontId="0" fillId="0" borderId="0" xfId="0" applyNumberFormat="1"/>
    <xf numFmtId="0" fontId="9" fillId="0" borderId="0" xfId="0" applyFont="1" applyAlignment="1"/>
    <xf numFmtId="1" fontId="2" fillId="3" borderId="1" xfId="0" applyNumberFormat="1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>
      <alignment horizontal="center" wrapText="1"/>
    </xf>
    <xf numFmtId="0" fontId="16" fillId="0" borderId="0" xfId="0" applyFont="1"/>
    <xf numFmtId="166" fontId="0" fillId="0" borderId="0" xfId="0" applyNumberFormat="1"/>
    <xf numFmtId="0" fontId="17" fillId="0" borderId="0" xfId="0" applyFont="1"/>
    <xf numFmtId="3" fontId="0" fillId="0" borderId="0" xfId="0" applyNumberFormat="1"/>
    <xf numFmtId="0" fontId="2" fillId="3" borderId="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top" wrapText="1" indent="1"/>
    </xf>
    <xf numFmtId="0" fontId="12" fillId="4" borderId="0" xfId="0" applyFont="1" applyFill="1" applyBorder="1" applyAlignment="1">
      <alignment vertical="top" wrapText="1" indent="1"/>
    </xf>
    <xf numFmtId="1" fontId="2" fillId="2" borderId="12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7" xfId="0" applyNumberFormat="1" applyFont="1" applyFill="1" applyBorder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wrapText="1"/>
    </xf>
    <xf numFmtId="1" fontId="0" fillId="2" borderId="15" xfId="0" applyNumberFormat="1" applyFill="1" applyBorder="1" applyAlignment="1">
      <alignment horizontal="center" wrapText="1"/>
    </xf>
    <xf numFmtId="0" fontId="0" fillId="0" borderId="10" xfId="0" applyBorder="1" applyAlignment="1">
      <alignment horizontal="center"/>
    </xf>
  </cellXfs>
  <cellStyles count="16">
    <cellStyle name="Comma 2" xfId="2"/>
    <cellStyle name="Comma 3" xfId="3"/>
    <cellStyle name="Hyperlink" xfId="15" builtinId="8"/>
    <cellStyle name="Normal" xfId="0" builtinId="0"/>
    <cellStyle name="Normal 2" xfId="4"/>
    <cellStyle name="Normal 3" xfId="5"/>
    <cellStyle name="Normal 4" xfId="6"/>
    <cellStyle name="Normal 4 2" xfId="7"/>
    <cellStyle name="Normal 4 2 2" xfId="8"/>
    <cellStyle name="Normal 5" xfId="9"/>
    <cellStyle name="Normal 5 2" xfId="10"/>
    <cellStyle name="Normal 6" xfId="11"/>
    <cellStyle name="Normal 7" xfId="12"/>
    <cellStyle name="Percent" xfId="1" builtinId="5"/>
    <cellStyle name="Percent 2" xfId="13"/>
    <cellStyle name="Percent 3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18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styles" Target="styles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/>
      <c:pieChart>
        <c:varyColors val="1"/>
        <c:ser>
          <c:idx val="0"/>
          <c:order val="0"/>
          <c:tx>
            <c:strRef>
              <c:f>summary!$B$14</c:f>
              <c:strCache>
                <c:ptCount val="1"/>
                <c:pt idx="0">
                  <c:v>SW Devon</c:v>
                </c:pt>
              </c:strCache>
            </c:strRef>
          </c:tx>
          <c:dPt>
            <c:idx val="0"/>
            <c:spPr>
              <a:noFill/>
              <a:ln>
                <a:solidFill>
                  <a:prstClr val="black"/>
                </a:solidFill>
              </a:ln>
            </c:spPr>
          </c:dPt>
          <c:dLbls>
            <c:dLbl>
              <c:idx val="0"/>
              <c:layout>
                <c:manualLayout>
                  <c:x val="2.6483176089475371E-4"/>
                  <c:y val="-1.8913754201777426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summary!$C$10:$W$10</c:f>
              <c:strCache>
                <c:ptCount val="20"/>
                <c:pt idx="0">
                  <c:v>Baseline Energy</c:v>
                </c:pt>
                <c:pt idx="1">
                  <c:v>Cavity Wall Insulation</c:v>
                </c:pt>
                <c:pt idx="2">
                  <c:v>Solid Wall Insulation</c:v>
                </c:pt>
                <c:pt idx="3">
                  <c:v>Virgin Loft Insulation</c:v>
                </c:pt>
                <c:pt idx="4">
                  <c:v>Top-up Loft Insulation</c:v>
                </c:pt>
                <c:pt idx="5">
                  <c:v>Single to Double Glazing</c:v>
                </c:pt>
                <c:pt idx="6">
                  <c:v>Double to Triple Glazing</c:v>
                </c:pt>
                <c:pt idx="7">
                  <c:v>Current to Improved Draught proofing</c:v>
                </c:pt>
                <c:pt idx="8">
                  <c:v>Improved to Advanced Draught proofing</c:v>
                </c:pt>
                <c:pt idx="9">
                  <c:v>MVHR</c:v>
                </c:pt>
                <c:pt idx="10">
                  <c:v>Insulation to tanks and Primary Circuits</c:v>
                </c:pt>
                <c:pt idx="11">
                  <c:v>Lighting Replacements</c:v>
                </c:pt>
                <c:pt idx="12">
                  <c:v>Appliances: Fridges and Freezers</c:v>
                </c:pt>
                <c:pt idx="13">
                  <c:v>Appliances: Dishwashers</c:v>
                </c:pt>
                <c:pt idx="14">
                  <c:v>Appliances: Laundry</c:v>
                </c:pt>
                <c:pt idx="15">
                  <c:v>Appliances: Cooking</c:v>
                </c:pt>
                <c:pt idx="16">
                  <c:v>Appliances: Audio-Visual</c:v>
                </c:pt>
                <c:pt idx="17">
                  <c:v>Appliances: Computers</c:v>
                </c:pt>
                <c:pt idx="18">
                  <c:v>Hot Water Measures</c:v>
                </c:pt>
                <c:pt idx="19">
                  <c:v>Turning Down Thermostat 1oC</c:v>
                </c:pt>
              </c:strCache>
            </c:strRef>
          </c:cat>
          <c:val>
            <c:numRef>
              <c:f>summary!$C$14:$W$14</c:f>
              <c:numCache>
                <c:formatCode>0</c:formatCode>
                <c:ptCount val="21"/>
                <c:pt idx="0">
                  <c:v>662.64400934932871</c:v>
                </c:pt>
                <c:pt idx="1">
                  <c:v>34.734057065618451</c:v>
                </c:pt>
                <c:pt idx="2">
                  <c:v>220.38938317115503</c:v>
                </c:pt>
                <c:pt idx="3">
                  <c:v>4.7514447601681065</c:v>
                </c:pt>
                <c:pt idx="4">
                  <c:v>15.394705066282331</c:v>
                </c:pt>
                <c:pt idx="5">
                  <c:v>25.576484238472432</c:v>
                </c:pt>
                <c:pt idx="6">
                  <c:v>72.962241379310257</c:v>
                </c:pt>
                <c:pt idx="7">
                  <c:v>46.842733396073356</c:v>
                </c:pt>
                <c:pt idx="8">
                  <c:v>147.25208047063839</c:v>
                </c:pt>
                <c:pt idx="9">
                  <c:v>44.284615225894349</c:v>
                </c:pt>
                <c:pt idx="10">
                  <c:v>1.4663291920383492</c:v>
                </c:pt>
                <c:pt idx="11">
                  <c:v>17.78172177978</c:v>
                </c:pt>
                <c:pt idx="12">
                  <c:v>14.231503311197212</c:v>
                </c:pt>
                <c:pt idx="13">
                  <c:v>2.0776961690007965</c:v>
                </c:pt>
                <c:pt idx="14">
                  <c:v>5.5654684007497996</c:v>
                </c:pt>
                <c:pt idx="15">
                  <c:v>2.7267603298103609</c:v>
                </c:pt>
                <c:pt idx="16">
                  <c:v>6.4588402329425501</c:v>
                </c:pt>
                <c:pt idx="17">
                  <c:v>5.6446470253151499</c:v>
                </c:pt>
                <c:pt idx="18">
                  <c:v>7.2213903502284404</c:v>
                </c:pt>
                <c:pt idx="19">
                  <c:v>66.204455172413802</c:v>
                </c:pt>
              </c:numCache>
            </c:numRef>
          </c:val>
        </c:ser>
        <c:firstSliceAng val="0"/>
      </c:pieChart>
    </c:plotArea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doughnutChart>
        <c:varyColors val="1"/>
        <c:ser>
          <c:idx val="2"/>
          <c:order val="0"/>
          <c:tx>
            <c:strRef>
              <c:f>summary!$B$13</c:f>
              <c:strCache>
                <c:ptCount val="1"/>
                <c:pt idx="0">
                  <c:v>Dartmoor</c:v>
                </c:pt>
              </c:strCache>
            </c:strRef>
          </c:tx>
          <c:dPt>
            <c:idx val="0"/>
            <c:spPr>
              <a:noFill/>
              <a:ln>
                <a:solidFill>
                  <a:schemeClr val="tx1"/>
                </a:solidFill>
              </a:ln>
            </c:spPr>
          </c:dPt>
          <c:cat>
            <c:strRef>
              <c:f>summary!$C$10:$W$10</c:f>
              <c:strCache>
                <c:ptCount val="20"/>
                <c:pt idx="0">
                  <c:v>Baseline Energy</c:v>
                </c:pt>
                <c:pt idx="1">
                  <c:v>Cavity Wall Insulation</c:v>
                </c:pt>
                <c:pt idx="2">
                  <c:v>Solid Wall Insulation</c:v>
                </c:pt>
                <c:pt idx="3">
                  <c:v>Virgin Loft Insulation</c:v>
                </c:pt>
                <c:pt idx="4">
                  <c:v>Top-up Loft Insulation</c:v>
                </c:pt>
                <c:pt idx="5">
                  <c:v>Single to Double Glazing</c:v>
                </c:pt>
                <c:pt idx="6">
                  <c:v>Double to Triple Glazing</c:v>
                </c:pt>
                <c:pt idx="7">
                  <c:v>Current to Improved Draught proofing</c:v>
                </c:pt>
                <c:pt idx="8">
                  <c:v>Improved to Advanced Draught proofing</c:v>
                </c:pt>
                <c:pt idx="9">
                  <c:v>MVHR</c:v>
                </c:pt>
                <c:pt idx="10">
                  <c:v>Insulation to tanks and Primary Circuits</c:v>
                </c:pt>
                <c:pt idx="11">
                  <c:v>Lighting Replacements</c:v>
                </c:pt>
                <c:pt idx="12">
                  <c:v>Appliances: Fridges and Freezers</c:v>
                </c:pt>
                <c:pt idx="13">
                  <c:v>Appliances: Dishwashers</c:v>
                </c:pt>
                <c:pt idx="14">
                  <c:v>Appliances: Laundry</c:v>
                </c:pt>
                <c:pt idx="15">
                  <c:v>Appliances: Cooking</c:v>
                </c:pt>
                <c:pt idx="16">
                  <c:v>Appliances: Audio-Visual</c:v>
                </c:pt>
                <c:pt idx="17">
                  <c:v>Appliances: Computers</c:v>
                </c:pt>
                <c:pt idx="18">
                  <c:v>Hot Water Measures</c:v>
                </c:pt>
                <c:pt idx="19">
                  <c:v>Turning Down Thermostat 1oC</c:v>
                </c:pt>
              </c:strCache>
            </c:strRef>
          </c:cat>
          <c:val>
            <c:numRef>
              <c:f>summary!$C$13:$V$13</c:f>
              <c:numCache>
                <c:formatCode>0</c:formatCode>
                <c:ptCount val="20"/>
                <c:pt idx="0">
                  <c:v>164.99295768930878</c:v>
                </c:pt>
                <c:pt idx="1">
                  <c:v>7.2105608119699518</c:v>
                </c:pt>
                <c:pt idx="2">
                  <c:v>49.611484839234485</c:v>
                </c:pt>
                <c:pt idx="3">
                  <c:v>1.1898695497887926</c:v>
                </c:pt>
                <c:pt idx="4">
                  <c:v>3.137619864105607</c:v>
                </c:pt>
                <c:pt idx="5">
                  <c:v>6.0740594235938268</c:v>
                </c:pt>
                <c:pt idx="6">
                  <c:v>14.510923645320196</c:v>
                </c:pt>
                <c:pt idx="7">
                  <c:v>9.3162067776231989</c:v>
                </c:pt>
                <c:pt idx="8">
                  <c:v>29.285883436825088</c:v>
                </c:pt>
                <c:pt idx="9">
                  <c:v>8.8074414672419898</c:v>
                </c:pt>
                <c:pt idx="10">
                  <c:v>0.29162743005598257</c:v>
                </c:pt>
                <c:pt idx="11">
                  <c:v>3.5364758832900001</c:v>
                </c:pt>
                <c:pt idx="12">
                  <c:v>2.8303990393237051</c:v>
                </c:pt>
                <c:pt idx="13">
                  <c:v>0.41321771229322701</c:v>
                </c:pt>
                <c:pt idx="14">
                  <c:v>1.1068750834266929</c:v>
                </c:pt>
                <c:pt idx="15">
                  <c:v>0.54230531021195261</c:v>
                </c:pt>
                <c:pt idx="16">
                  <c:v>1.2845512375409067</c:v>
                </c:pt>
                <c:pt idx="17">
                  <c:v>1.1226223378104525</c:v>
                </c:pt>
                <c:pt idx="18">
                  <c:v>1.4362092228012562</c:v>
                </c:pt>
                <c:pt idx="19">
                  <c:v>12.922481896551725</c:v>
                </c:pt>
              </c:numCache>
            </c:numRef>
          </c:val>
        </c:ser>
        <c:ser>
          <c:idx val="1"/>
          <c:order val="1"/>
          <c:tx>
            <c:strRef>
              <c:f>summary!$B$12</c:f>
              <c:strCache>
                <c:ptCount val="1"/>
                <c:pt idx="0">
                  <c:v>West Devon</c:v>
                </c:pt>
              </c:strCache>
            </c:strRef>
          </c:tx>
          <c:dPt>
            <c:idx val="0"/>
            <c:spPr>
              <a:noFill/>
              <a:ln>
                <a:solidFill>
                  <a:schemeClr val="tx1"/>
                </a:solidFill>
              </a:ln>
            </c:spPr>
          </c:dPt>
          <c:cat>
            <c:strRef>
              <c:f>summary!$C$10:$W$10</c:f>
              <c:strCache>
                <c:ptCount val="20"/>
                <c:pt idx="0">
                  <c:v>Baseline Energy</c:v>
                </c:pt>
                <c:pt idx="1">
                  <c:v>Cavity Wall Insulation</c:v>
                </c:pt>
                <c:pt idx="2">
                  <c:v>Solid Wall Insulation</c:v>
                </c:pt>
                <c:pt idx="3">
                  <c:v>Virgin Loft Insulation</c:v>
                </c:pt>
                <c:pt idx="4">
                  <c:v>Top-up Loft Insulation</c:v>
                </c:pt>
                <c:pt idx="5">
                  <c:v>Single to Double Glazing</c:v>
                </c:pt>
                <c:pt idx="6">
                  <c:v>Double to Triple Glazing</c:v>
                </c:pt>
                <c:pt idx="7">
                  <c:v>Current to Improved Draught proofing</c:v>
                </c:pt>
                <c:pt idx="8">
                  <c:v>Improved to Advanced Draught proofing</c:v>
                </c:pt>
                <c:pt idx="9">
                  <c:v>MVHR</c:v>
                </c:pt>
                <c:pt idx="10">
                  <c:v>Insulation to tanks and Primary Circuits</c:v>
                </c:pt>
                <c:pt idx="11">
                  <c:v>Lighting Replacements</c:v>
                </c:pt>
                <c:pt idx="12">
                  <c:v>Appliances: Fridges and Freezers</c:v>
                </c:pt>
                <c:pt idx="13">
                  <c:v>Appliances: Dishwashers</c:v>
                </c:pt>
                <c:pt idx="14">
                  <c:v>Appliances: Laundry</c:v>
                </c:pt>
                <c:pt idx="15">
                  <c:v>Appliances: Cooking</c:v>
                </c:pt>
                <c:pt idx="16">
                  <c:v>Appliances: Audio-Visual</c:v>
                </c:pt>
                <c:pt idx="17">
                  <c:v>Appliances: Computers</c:v>
                </c:pt>
                <c:pt idx="18">
                  <c:v>Hot Water Measures</c:v>
                </c:pt>
                <c:pt idx="19">
                  <c:v>Turning Down Thermostat 1oC</c:v>
                </c:pt>
              </c:strCache>
            </c:strRef>
          </c:cat>
          <c:val>
            <c:numRef>
              <c:f>summary!$C$12:$V$12</c:f>
              <c:numCache>
                <c:formatCode>0</c:formatCode>
                <c:ptCount val="20"/>
                <c:pt idx="0">
                  <c:v>243.33457703377766</c:v>
                </c:pt>
                <c:pt idx="1">
                  <c:v>13.609732389726462</c:v>
                </c:pt>
                <c:pt idx="2">
                  <c:v>81.188076604480486</c:v>
                </c:pt>
                <c:pt idx="3">
                  <c:v>1.6354157829827605</c:v>
                </c:pt>
                <c:pt idx="4">
                  <c:v>5.310799480964441</c:v>
                </c:pt>
                <c:pt idx="5">
                  <c:v>9.0733225186705617</c:v>
                </c:pt>
                <c:pt idx="6">
                  <c:v>24.911071428571415</c:v>
                </c:pt>
                <c:pt idx="7">
                  <c:v>15.993240551269663</c:v>
                </c:pt>
                <c:pt idx="8">
                  <c:v>50.275416780850186</c:v>
                </c:pt>
                <c:pt idx="9">
                  <c:v>15.119837224054534</c:v>
                </c:pt>
                <c:pt idx="10">
                  <c:v>0.50064020170061307</c:v>
                </c:pt>
                <c:pt idx="11">
                  <c:v>6.0711092889300007</c:v>
                </c:pt>
                <c:pt idx="12">
                  <c:v>4.8589789570488042</c:v>
                </c:pt>
                <c:pt idx="13">
                  <c:v>0.70937565368605571</c:v>
                </c:pt>
                <c:pt idx="14">
                  <c:v>1.9001853320784858</c:v>
                </c:pt>
                <c:pt idx="15">
                  <c:v>0.93098183471872598</c:v>
                </c:pt>
                <c:pt idx="16">
                  <c:v>2.2052040527662258</c:v>
                </c:pt>
                <c:pt idx="17">
                  <c:v>1.927218826868063</c:v>
                </c:pt>
                <c:pt idx="18">
                  <c:v>2.4655570803112505</c:v>
                </c:pt>
                <c:pt idx="19">
                  <c:v>22.072275000000005</c:v>
                </c:pt>
              </c:numCache>
            </c:numRef>
          </c:val>
        </c:ser>
        <c:ser>
          <c:idx val="0"/>
          <c:order val="2"/>
          <c:tx>
            <c:strRef>
              <c:f>summary!$B$11</c:f>
              <c:strCache>
                <c:ptCount val="1"/>
                <c:pt idx="0">
                  <c:v>South Hams</c:v>
                </c:pt>
              </c:strCache>
            </c:strRef>
          </c:tx>
          <c:dPt>
            <c:idx val="0"/>
            <c:spPr>
              <a:noFill/>
              <a:ln>
                <a:solidFill>
                  <a:schemeClr val="tx1"/>
                </a:solidFill>
              </a:ln>
            </c:spPr>
          </c:dPt>
          <c:cat>
            <c:strRef>
              <c:f>summary!$C$10:$W$10</c:f>
              <c:strCache>
                <c:ptCount val="20"/>
                <c:pt idx="0">
                  <c:v>Baseline Energy</c:v>
                </c:pt>
                <c:pt idx="1">
                  <c:v>Cavity Wall Insulation</c:v>
                </c:pt>
                <c:pt idx="2">
                  <c:v>Solid Wall Insulation</c:v>
                </c:pt>
                <c:pt idx="3">
                  <c:v>Virgin Loft Insulation</c:v>
                </c:pt>
                <c:pt idx="4">
                  <c:v>Top-up Loft Insulation</c:v>
                </c:pt>
                <c:pt idx="5">
                  <c:v>Single to Double Glazing</c:v>
                </c:pt>
                <c:pt idx="6">
                  <c:v>Double to Triple Glazing</c:v>
                </c:pt>
                <c:pt idx="7">
                  <c:v>Current to Improved Draught proofing</c:v>
                </c:pt>
                <c:pt idx="8">
                  <c:v>Improved to Advanced Draught proofing</c:v>
                </c:pt>
                <c:pt idx="9">
                  <c:v>MVHR</c:v>
                </c:pt>
                <c:pt idx="10">
                  <c:v>Insulation to tanks and Primary Circuits</c:v>
                </c:pt>
                <c:pt idx="11">
                  <c:v>Lighting Replacements</c:v>
                </c:pt>
                <c:pt idx="12">
                  <c:v>Appliances: Fridges and Freezers</c:v>
                </c:pt>
                <c:pt idx="13">
                  <c:v>Appliances: Dishwashers</c:v>
                </c:pt>
                <c:pt idx="14">
                  <c:v>Appliances: Laundry</c:v>
                </c:pt>
                <c:pt idx="15">
                  <c:v>Appliances: Cooking</c:v>
                </c:pt>
                <c:pt idx="16">
                  <c:v>Appliances: Audio-Visual</c:v>
                </c:pt>
                <c:pt idx="17">
                  <c:v>Appliances: Computers</c:v>
                </c:pt>
                <c:pt idx="18">
                  <c:v>Hot Water Measures</c:v>
                </c:pt>
                <c:pt idx="19">
                  <c:v>Turning Down Thermostat 1oC</c:v>
                </c:pt>
              </c:strCache>
            </c:strRef>
          </c:cat>
          <c:val>
            <c:numRef>
              <c:f>summary!$C$11:$V$11</c:f>
              <c:numCache>
                <c:formatCode>0</c:formatCode>
                <c:ptCount val="20"/>
                <c:pt idx="0">
                  <c:v>0</c:v>
                </c:pt>
                <c:pt idx="1">
                  <c:v>18.369751158231445</c:v>
                </c:pt>
                <c:pt idx="2">
                  <c:v>117.01794135001578</c:v>
                </c:pt>
                <c:pt idx="3">
                  <c:v>2.4417170282327603</c:v>
                </c:pt>
                <c:pt idx="4">
                  <c:v>8.7066928783351294</c:v>
                </c:pt>
                <c:pt idx="5">
                  <c:v>13.798211453309744</c:v>
                </c:pt>
                <c:pt idx="6">
                  <c:v>41.815917487684658</c:v>
                </c:pt>
                <c:pt idx="7">
                  <c:v>26.846377490032257</c:v>
                </c:pt>
                <c:pt idx="8">
                  <c:v>84.392704095247026</c:v>
                </c:pt>
                <c:pt idx="9">
                  <c:v>25.380275895821203</c:v>
                </c:pt>
                <c:pt idx="10">
                  <c:v>0.84037852106673594</c:v>
                </c:pt>
                <c:pt idx="11">
                  <c:v>10.191011085675001</c:v>
                </c:pt>
                <c:pt idx="12">
                  <c:v>8.1563197201269926</c:v>
                </c:pt>
                <c:pt idx="13">
                  <c:v>1.1907634678565735</c:v>
                </c:pt>
                <c:pt idx="14">
                  <c:v>3.1896658192858558</c:v>
                </c:pt>
                <c:pt idx="15">
                  <c:v>1.5627533201354595</c:v>
                </c:pt>
                <c:pt idx="16">
                  <c:v>3.7016726068320924</c:v>
                </c:pt>
                <c:pt idx="17">
                  <c:v>3.235044453069877</c:v>
                </c:pt>
                <c:pt idx="18">
                  <c:v>4.1387032158409482</c:v>
                </c:pt>
                <c:pt idx="19">
                  <c:v>38.412504310344829</c:v>
                </c:pt>
              </c:numCache>
            </c:numRef>
          </c:val>
        </c:ser>
        <c:ser>
          <c:idx val="3"/>
          <c:order val="3"/>
          <c:tx>
            <c:strRef>
              <c:f>summary!$B$14</c:f>
              <c:strCache>
                <c:ptCount val="1"/>
                <c:pt idx="0">
                  <c:v>SW Devon</c:v>
                </c:pt>
              </c:strCache>
            </c:strRef>
          </c:tx>
          <c:dPt>
            <c:idx val="0"/>
            <c:spPr>
              <a:noFill/>
              <a:ln>
                <a:solidFill>
                  <a:schemeClr val="tx1"/>
                </a:solidFill>
              </a:ln>
            </c:spPr>
          </c:dPt>
          <c:cat>
            <c:strRef>
              <c:f>summary!$C$10:$W$10</c:f>
              <c:strCache>
                <c:ptCount val="20"/>
                <c:pt idx="0">
                  <c:v>Baseline Energy</c:v>
                </c:pt>
                <c:pt idx="1">
                  <c:v>Cavity Wall Insulation</c:v>
                </c:pt>
                <c:pt idx="2">
                  <c:v>Solid Wall Insulation</c:v>
                </c:pt>
                <c:pt idx="3">
                  <c:v>Virgin Loft Insulation</c:v>
                </c:pt>
                <c:pt idx="4">
                  <c:v>Top-up Loft Insulation</c:v>
                </c:pt>
                <c:pt idx="5">
                  <c:v>Single to Double Glazing</c:v>
                </c:pt>
                <c:pt idx="6">
                  <c:v>Double to Triple Glazing</c:v>
                </c:pt>
                <c:pt idx="7">
                  <c:v>Current to Improved Draught proofing</c:v>
                </c:pt>
                <c:pt idx="8">
                  <c:v>Improved to Advanced Draught proofing</c:v>
                </c:pt>
                <c:pt idx="9">
                  <c:v>MVHR</c:v>
                </c:pt>
                <c:pt idx="10">
                  <c:v>Insulation to tanks and Primary Circuits</c:v>
                </c:pt>
                <c:pt idx="11">
                  <c:v>Lighting Replacements</c:v>
                </c:pt>
                <c:pt idx="12">
                  <c:v>Appliances: Fridges and Freezers</c:v>
                </c:pt>
                <c:pt idx="13">
                  <c:v>Appliances: Dishwashers</c:v>
                </c:pt>
                <c:pt idx="14">
                  <c:v>Appliances: Laundry</c:v>
                </c:pt>
                <c:pt idx="15">
                  <c:v>Appliances: Cooking</c:v>
                </c:pt>
                <c:pt idx="16">
                  <c:v>Appliances: Audio-Visual</c:v>
                </c:pt>
                <c:pt idx="17">
                  <c:v>Appliances: Computers</c:v>
                </c:pt>
                <c:pt idx="18">
                  <c:v>Hot Water Measures</c:v>
                </c:pt>
                <c:pt idx="19">
                  <c:v>Turning Down Thermostat 1oC</c:v>
                </c:pt>
              </c:strCache>
            </c:strRef>
          </c:cat>
          <c:val>
            <c:numRef>
              <c:f>summary!$C$14:$V$14</c:f>
              <c:numCache>
                <c:formatCode>0</c:formatCode>
                <c:ptCount val="20"/>
                <c:pt idx="0">
                  <c:v>662.64400934932871</c:v>
                </c:pt>
                <c:pt idx="1">
                  <c:v>34.734057065618451</c:v>
                </c:pt>
                <c:pt idx="2">
                  <c:v>220.38938317115503</c:v>
                </c:pt>
                <c:pt idx="3">
                  <c:v>4.7514447601681065</c:v>
                </c:pt>
                <c:pt idx="4">
                  <c:v>15.394705066282331</c:v>
                </c:pt>
                <c:pt idx="5">
                  <c:v>25.576484238472432</c:v>
                </c:pt>
                <c:pt idx="6">
                  <c:v>72.962241379310257</c:v>
                </c:pt>
                <c:pt idx="7">
                  <c:v>46.842733396073356</c:v>
                </c:pt>
                <c:pt idx="8">
                  <c:v>147.25208047063839</c:v>
                </c:pt>
                <c:pt idx="9">
                  <c:v>44.284615225894349</c:v>
                </c:pt>
                <c:pt idx="10">
                  <c:v>1.4663291920383492</c:v>
                </c:pt>
                <c:pt idx="11">
                  <c:v>17.78172177978</c:v>
                </c:pt>
                <c:pt idx="12">
                  <c:v>14.231503311197212</c:v>
                </c:pt>
                <c:pt idx="13">
                  <c:v>2.0776961690007965</c:v>
                </c:pt>
                <c:pt idx="14">
                  <c:v>5.5654684007497996</c:v>
                </c:pt>
                <c:pt idx="15">
                  <c:v>2.7267603298103609</c:v>
                </c:pt>
                <c:pt idx="16">
                  <c:v>6.4588402329425501</c:v>
                </c:pt>
                <c:pt idx="17">
                  <c:v>5.6446470253151499</c:v>
                </c:pt>
                <c:pt idx="18">
                  <c:v>7.2213903502284404</c:v>
                </c:pt>
                <c:pt idx="19">
                  <c:v>66.204455172413802</c:v>
                </c:pt>
              </c:numCache>
            </c:numRef>
          </c:val>
        </c:ser>
        <c:firstSliceAng val="0"/>
        <c:holeSize val="50"/>
      </c:doughnutChart>
      <c:spPr>
        <a:ln>
          <a:noFill/>
        </a:ln>
      </c:spPr>
    </c:plotArea>
    <c:legend>
      <c:legendPos val="r"/>
      <c:layout/>
      <c:txPr>
        <a:bodyPr/>
        <a:lstStyle/>
        <a:p>
          <a:pPr>
            <a:defRPr sz="1200"/>
          </a:pPr>
          <a:endParaRPr lang="en-US"/>
        </a:p>
      </c:txPr>
    </c:legend>
    <c:plotVisOnly val="1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pivotSource>
    <c:name>[SWDCEP Workbook2 Opportunities within Buildings.xlsx]PIVOT!PivotTable5</c:name>
    <c:fmtId val="1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spPr>
          <a:noFill/>
          <a:ln>
            <a:solidFill>
              <a:schemeClr val="tx1"/>
            </a:solidFill>
          </a:ln>
        </c:spPr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</c:pivotFmts>
    <c:plotArea>
      <c:layout/>
      <c:barChart>
        <c:barDir val="col"/>
        <c:grouping val="stacked"/>
        <c:ser>
          <c:idx val="0"/>
          <c:order val="0"/>
          <c:tx>
            <c:strRef>
              <c:f>PIVOT!$B$1:$B$2</c:f>
              <c:strCache>
                <c:ptCount val="1"/>
                <c:pt idx="0">
                  <c:v>Sum of Baseline Energy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PIVOT!$B$3:$B$7</c:f>
              <c:numCache>
                <c:formatCode>General</c:formatCode>
                <c:ptCount val="4"/>
                <c:pt idx="0">
                  <c:v>363.8021988978241</c:v>
                </c:pt>
                <c:pt idx="1">
                  <c:v>247.56296885920506</c:v>
                </c:pt>
                <c:pt idx="2">
                  <c:v>167.45603404060932</c:v>
                </c:pt>
                <c:pt idx="3">
                  <c:v>675.0285808398703</c:v>
                </c:pt>
              </c:numCache>
            </c:numRef>
          </c:val>
        </c:ser>
        <c:ser>
          <c:idx val="1"/>
          <c:order val="1"/>
          <c:tx>
            <c:strRef>
              <c:f>PIVOT!$C$1:$C$2</c:f>
              <c:strCache>
                <c:ptCount val="1"/>
                <c:pt idx="0">
                  <c:v>Sum of Cavity Wall Insulation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PIVOT!$C$3:$C$7</c:f>
              <c:numCache>
                <c:formatCode>General</c:formatCode>
                <c:ptCount val="4"/>
                <c:pt idx="0">
                  <c:v>18.369751158231445</c:v>
                </c:pt>
                <c:pt idx="1">
                  <c:v>13.609732389726462</c:v>
                </c:pt>
                <c:pt idx="2">
                  <c:v>7.2105608119699518</c:v>
                </c:pt>
                <c:pt idx="3">
                  <c:v>34.734057065618451</c:v>
                </c:pt>
              </c:numCache>
            </c:numRef>
          </c:val>
        </c:ser>
        <c:ser>
          <c:idx val="2"/>
          <c:order val="2"/>
          <c:tx>
            <c:strRef>
              <c:f>PIVOT!$D$1:$D$2</c:f>
              <c:strCache>
                <c:ptCount val="1"/>
                <c:pt idx="0">
                  <c:v>Sum of Solid Wall Insulation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PIVOT!$D$3:$D$7</c:f>
              <c:numCache>
                <c:formatCode>General</c:formatCode>
                <c:ptCount val="4"/>
                <c:pt idx="0">
                  <c:v>122.5583036701062</c:v>
                </c:pt>
                <c:pt idx="1">
                  <c:v>84.488646573717361</c:v>
                </c:pt>
                <c:pt idx="2">
                  <c:v>51.534096596298497</c:v>
                </c:pt>
                <c:pt idx="3">
                  <c:v>230.05644961890962</c:v>
                </c:pt>
              </c:numCache>
            </c:numRef>
          </c:val>
        </c:ser>
        <c:ser>
          <c:idx val="3"/>
          <c:order val="3"/>
          <c:tx>
            <c:strRef>
              <c:f>PIVOT!$E$1:$E$2</c:f>
              <c:strCache>
                <c:ptCount val="1"/>
                <c:pt idx="0">
                  <c:v>Sum of Virgin Loft Insulation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PIVOT!$E$3:$E$7</c:f>
              <c:numCache>
                <c:formatCode>General</c:formatCode>
                <c:ptCount val="4"/>
                <c:pt idx="0">
                  <c:v>2.4417170282327603</c:v>
                </c:pt>
                <c:pt idx="1">
                  <c:v>1.6354157829827605</c:v>
                </c:pt>
                <c:pt idx="2">
                  <c:v>1.1898695497887926</c:v>
                </c:pt>
                <c:pt idx="3">
                  <c:v>4.7514447601681065</c:v>
                </c:pt>
              </c:numCache>
            </c:numRef>
          </c:val>
        </c:ser>
        <c:ser>
          <c:idx val="4"/>
          <c:order val="4"/>
          <c:tx>
            <c:strRef>
              <c:f>PIVOT!$F$1:$F$2</c:f>
              <c:strCache>
                <c:ptCount val="1"/>
                <c:pt idx="0">
                  <c:v>Sum of Top-up Loft Insulation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PIVOT!$F$3:$F$7</c:f>
              <c:numCache>
                <c:formatCode>General</c:formatCode>
                <c:ptCount val="4"/>
                <c:pt idx="0">
                  <c:v>8.7066928783351294</c:v>
                </c:pt>
                <c:pt idx="1">
                  <c:v>5.310799480964441</c:v>
                </c:pt>
                <c:pt idx="2">
                  <c:v>3.137619864105607</c:v>
                </c:pt>
                <c:pt idx="3">
                  <c:v>15.394705066282331</c:v>
                </c:pt>
              </c:numCache>
            </c:numRef>
          </c:val>
        </c:ser>
        <c:ser>
          <c:idx val="5"/>
          <c:order val="5"/>
          <c:tx>
            <c:strRef>
              <c:f>PIVOT!$G$1:$G$2</c:f>
              <c:strCache>
                <c:ptCount val="1"/>
                <c:pt idx="0">
                  <c:v>Sum of Single to Double Glazing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PIVOT!$G$3:$G$7</c:f>
              <c:numCache>
                <c:formatCode>General</c:formatCode>
                <c:ptCount val="4"/>
                <c:pt idx="0">
                  <c:v>13.798211453309744</c:v>
                </c:pt>
                <c:pt idx="1">
                  <c:v>9.0733225186705617</c:v>
                </c:pt>
                <c:pt idx="2">
                  <c:v>6.0740594235938268</c:v>
                </c:pt>
                <c:pt idx="3">
                  <c:v>25.576484238472432</c:v>
                </c:pt>
              </c:numCache>
            </c:numRef>
          </c:val>
        </c:ser>
        <c:ser>
          <c:idx val="6"/>
          <c:order val="6"/>
          <c:tx>
            <c:strRef>
              <c:f>PIVOT!$H$1:$H$2</c:f>
              <c:strCache>
                <c:ptCount val="1"/>
                <c:pt idx="0">
                  <c:v>Sum of Double to Triple Glazing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PIVOT!$H$3:$H$7</c:f>
              <c:numCache>
                <c:formatCode>General</c:formatCode>
                <c:ptCount val="4"/>
                <c:pt idx="0">
                  <c:v>41.815917487684658</c:v>
                </c:pt>
                <c:pt idx="1">
                  <c:v>24.911071428571415</c:v>
                </c:pt>
                <c:pt idx="2">
                  <c:v>14.510923645320196</c:v>
                </c:pt>
                <c:pt idx="3">
                  <c:v>72.962241379310257</c:v>
                </c:pt>
              </c:numCache>
            </c:numRef>
          </c:val>
        </c:ser>
        <c:ser>
          <c:idx val="7"/>
          <c:order val="7"/>
          <c:tx>
            <c:strRef>
              <c:f>PIVOT!$I$1:$I$2</c:f>
              <c:strCache>
                <c:ptCount val="1"/>
                <c:pt idx="0">
                  <c:v>Sum of Current to Improved Draught proofing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PIVOT!$I$3:$I$7</c:f>
              <c:numCache>
                <c:formatCode>General</c:formatCode>
                <c:ptCount val="4"/>
                <c:pt idx="0">
                  <c:v>26.846377490032257</c:v>
                </c:pt>
                <c:pt idx="1">
                  <c:v>15.993240551269663</c:v>
                </c:pt>
                <c:pt idx="2">
                  <c:v>9.3162067776231989</c:v>
                </c:pt>
                <c:pt idx="3">
                  <c:v>46.842733396073356</c:v>
                </c:pt>
              </c:numCache>
            </c:numRef>
          </c:val>
        </c:ser>
        <c:ser>
          <c:idx val="8"/>
          <c:order val="8"/>
          <c:tx>
            <c:strRef>
              <c:f>PIVOT!$J$1:$J$2</c:f>
              <c:strCache>
                <c:ptCount val="1"/>
                <c:pt idx="0">
                  <c:v>Sum of Improved to Advanced Draught proofing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PIVOT!$J$3:$J$7</c:f>
              <c:numCache>
                <c:formatCode>General</c:formatCode>
                <c:ptCount val="4"/>
                <c:pt idx="0">
                  <c:v>84.392704095247026</c:v>
                </c:pt>
                <c:pt idx="1">
                  <c:v>50.275416780850186</c:v>
                </c:pt>
                <c:pt idx="2">
                  <c:v>29.285883436825088</c:v>
                </c:pt>
                <c:pt idx="3">
                  <c:v>147.25208047063839</c:v>
                </c:pt>
              </c:numCache>
            </c:numRef>
          </c:val>
        </c:ser>
        <c:ser>
          <c:idx val="9"/>
          <c:order val="9"/>
          <c:tx>
            <c:strRef>
              <c:f>PIVOT!$K$1:$K$2</c:f>
              <c:strCache>
                <c:ptCount val="1"/>
                <c:pt idx="0">
                  <c:v>Sum of MVHR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PIVOT!$K$3:$K$7</c:f>
              <c:numCache>
                <c:formatCode>General</c:formatCode>
                <c:ptCount val="4"/>
                <c:pt idx="0">
                  <c:v>25.380275895821203</c:v>
                </c:pt>
                <c:pt idx="1">
                  <c:v>15.119837224054534</c:v>
                </c:pt>
                <c:pt idx="2">
                  <c:v>8.8074414672419898</c:v>
                </c:pt>
                <c:pt idx="3">
                  <c:v>44.284615225894349</c:v>
                </c:pt>
              </c:numCache>
            </c:numRef>
          </c:val>
        </c:ser>
        <c:ser>
          <c:idx val="10"/>
          <c:order val="10"/>
          <c:tx>
            <c:strRef>
              <c:f>PIVOT!$L$1:$L$2</c:f>
              <c:strCache>
                <c:ptCount val="1"/>
                <c:pt idx="0">
                  <c:v>Sum of Insulation to tanks and Primary Circuits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PIVOT!$L$3:$L$7</c:f>
              <c:numCache>
                <c:formatCode>General</c:formatCode>
                <c:ptCount val="4"/>
                <c:pt idx="0">
                  <c:v>0.84037852106673594</c:v>
                </c:pt>
                <c:pt idx="1">
                  <c:v>0.50064020170061307</c:v>
                </c:pt>
                <c:pt idx="2">
                  <c:v>0.29162743005598257</c:v>
                </c:pt>
                <c:pt idx="3">
                  <c:v>1.4663291920383492</c:v>
                </c:pt>
              </c:numCache>
            </c:numRef>
          </c:val>
        </c:ser>
        <c:ser>
          <c:idx val="11"/>
          <c:order val="11"/>
          <c:tx>
            <c:strRef>
              <c:f>PIVOT!$M$1:$M$2</c:f>
              <c:strCache>
                <c:ptCount val="1"/>
                <c:pt idx="0">
                  <c:v>Sum of Lighting Replacements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PIVOT!$M$3:$M$7</c:f>
              <c:numCache>
                <c:formatCode>General</c:formatCode>
                <c:ptCount val="4"/>
                <c:pt idx="0">
                  <c:v>10.191011085675001</c:v>
                </c:pt>
                <c:pt idx="1">
                  <c:v>6.0711092889300007</c:v>
                </c:pt>
                <c:pt idx="2">
                  <c:v>3.5364758832900001</c:v>
                </c:pt>
                <c:pt idx="3">
                  <c:v>17.78172177978</c:v>
                </c:pt>
              </c:numCache>
            </c:numRef>
          </c:val>
        </c:ser>
        <c:ser>
          <c:idx val="12"/>
          <c:order val="12"/>
          <c:tx>
            <c:strRef>
              <c:f>PIVOT!$N$1:$N$2</c:f>
              <c:strCache>
                <c:ptCount val="1"/>
                <c:pt idx="0">
                  <c:v>Sum of Appliances: Fridges and Freezers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PIVOT!$N$3:$N$7</c:f>
              <c:numCache>
                <c:formatCode>General</c:formatCode>
                <c:ptCount val="4"/>
                <c:pt idx="0">
                  <c:v>8.1563197201269926</c:v>
                </c:pt>
                <c:pt idx="1">
                  <c:v>4.8589789570488042</c:v>
                </c:pt>
                <c:pt idx="2">
                  <c:v>2.8303990393237051</c:v>
                </c:pt>
                <c:pt idx="3">
                  <c:v>14.231503311197212</c:v>
                </c:pt>
              </c:numCache>
            </c:numRef>
          </c:val>
        </c:ser>
        <c:ser>
          <c:idx val="13"/>
          <c:order val="13"/>
          <c:tx>
            <c:strRef>
              <c:f>PIVOT!$O$1:$O$2</c:f>
              <c:strCache>
                <c:ptCount val="1"/>
                <c:pt idx="0">
                  <c:v>Sum of Appliances: Dishwashers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PIVOT!$O$3:$O$7</c:f>
              <c:numCache>
                <c:formatCode>General</c:formatCode>
                <c:ptCount val="4"/>
                <c:pt idx="0">
                  <c:v>1.1907634678565735</c:v>
                </c:pt>
                <c:pt idx="1">
                  <c:v>0.70937565368605571</c:v>
                </c:pt>
                <c:pt idx="2">
                  <c:v>0.41321771229322701</c:v>
                </c:pt>
                <c:pt idx="3">
                  <c:v>2.0776961690007965</c:v>
                </c:pt>
              </c:numCache>
            </c:numRef>
          </c:val>
        </c:ser>
        <c:ser>
          <c:idx val="14"/>
          <c:order val="14"/>
          <c:tx>
            <c:strRef>
              <c:f>PIVOT!$P$1:$P$2</c:f>
              <c:strCache>
                <c:ptCount val="1"/>
                <c:pt idx="0">
                  <c:v>Sum of Appliances: Laundry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PIVOT!$P$3:$P$7</c:f>
              <c:numCache>
                <c:formatCode>General</c:formatCode>
                <c:ptCount val="4"/>
                <c:pt idx="0">
                  <c:v>3.1896658192858558</c:v>
                </c:pt>
                <c:pt idx="1">
                  <c:v>1.9001853320784858</c:v>
                </c:pt>
                <c:pt idx="2">
                  <c:v>1.1068750834266929</c:v>
                </c:pt>
                <c:pt idx="3">
                  <c:v>5.5654684007497996</c:v>
                </c:pt>
              </c:numCache>
            </c:numRef>
          </c:val>
        </c:ser>
        <c:ser>
          <c:idx val="15"/>
          <c:order val="15"/>
          <c:tx>
            <c:strRef>
              <c:f>PIVOT!$Q$1:$Q$2</c:f>
              <c:strCache>
                <c:ptCount val="1"/>
                <c:pt idx="0">
                  <c:v>Sum of Appliances: Cooking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PIVOT!$Q$3:$Q$7</c:f>
              <c:numCache>
                <c:formatCode>General</c:formatCode>
                <c:ptCount val="4"/>
                <c:pt idx="0">
                  <c:v>1.5627533201354595</c:v>
                </c:pt>
                <c:pt idx="1">
                  <c:v>0.93098183471872598</c:v>
                </c:pt>
                <c:pt idx="2">
                  <c:v>0.54230531021195261</c:v>
                </c:pt>
                <c:pt idx="3">
                  <c:v>2.7267603298103609</c:v>
                </c:pt>
              </c:numCache>
            </c:numRef>
          </c:val>
        </c:ser>
        <c:ser>
          <c:idx val="16"/>
          <c:order val="16"/>
          <c:tx>
            <c:strRef>
              <c:f>PIVOT!$R$1:$R$2</c:f>
              <c:strCache>
                <c:ptCount val="1"/>
                <c:pt idx="0">
                  <c:v>Sum of Appliances: Audio-Visual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PIVOT!$R$3:$R$7</c:f>
              <c:numCache>
                <c:formatCode>General</c:formatCode>
                <c:ptCount val="4"/>
                <c:pt idx="0">
                  <c:v>3.7016726068320924</c:v>
                </c:pt>
                <c:pt idx="1">
                  <c:v>2.2052040527662258</c:v>
                </c:pt>
                <c:pt idx="2">
                  <c:v>1.2845512375409067</c:v>
                </c:pt>
                <c:pt idx="3">
                  <c:v>6.4588402329425501</c:v>
                </c:pt>
              </c:numCache>
            </c:numRef>
          </c:val>
        </c:ser>
        <c:ser>
          <c:idx val="17"/>
          <c:order val="17"/>
          <c:tx>
            <c:strRef>
              <c:f>PIVOT!$S$1:$S$2</c:f>
              <c:strCache>
                <c:ptCount val="1"/>
                <c:pt idx="0">
                  <c:v>Sum of Appliances: Computers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PIVOT!$S$3:$S$7</c:f>
              <c:numCache>
                <c:formatCode>General</c:formatCode>
                <c:ptCount val="4"/>
                <c:pt idx="0">
                  <c:v>3.235044453069877</c:v>
                </c:pt>
                <c:pt idx="1">
                  <c:v>1.927218826868063</c:v>
                </c:pt>
                <c:pt idx="2">
                  <c:v>1.1226223378104525</c:v>
                </c:pt>
                <c:pt idx="3">
                  <c:v>5.6446470253151499</c:v>
                </c:pt>
              </c:numCache>
            </c:numRef>
          </c:val>
        </c:ser>
        <c:ser>
          <c:idx val="18"/>
          <c:order val="18"/>
          <c:tx>
            <c:strRef>
              <c:f>PIVOT!$T$1:$T$2</c:f>
              <c:strCache>
                <c:ptCount val="1"/>
                <c:pt idx="0">
                  <c:v>Sum of Hot Water Measures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PIVOT!$T$3:$T$7</c:f>
              <c:numCache>
                <c:formatCode>General</c:formatCode>
                <c:ptCount val="4"/>
                <c:pt idx="0">
                  <c:v>4.1387032158409482</c:v>
                </c:pt>
                <c:pt idx="1">
                  <c:v>2.4655570803112505</c:v>
                </c:pt>
                <c:pt idx="2">
                  <c:v>1.4362092228012562</c:v>
                </c:pt>
                <c:pt idx="3">
                  <c:v>7.2213903502284404</c:v>
                </c:pt>
              </c:numCache>
            </c:numRef>
          </c:val>
        </c:ser>
        <c:ser>
          <c:idx val="19"/>
          <c:order val="19"/>
          <c:tx>
            <c:strRef>
              <c:f>PIVOT!$U$1:$U$2</c:f>
              <c:strCache>
                <c:ptCount val="1"/>
                <c:pt idx="0">
                  <c:v>Sum of Turning Down Thermostat 1oC</c:v>
                </c:pt>
              </c:strCache>
            </c:strRef>
          </c:tx>
          <c:cat>
            <c:strRef>
              <c:f>PIVOT!$A$3:$A$7</c:f>
              <c:strCache>
                <c:ptCount val="4"/>
                <c:pt idx="0">
                  <c:v>South Hams</c:v>
                </c:pt>
                <c:pt idx="1">
                  <c:v>West Devon</c:v>
                </c:pt>
                <c:pt idx="2">
                  <c:v>Dartmoor</c:v>
                </c:pt>
                <c:pt idx="3">
                  <c:v>SW Devon</c:v>
                </c:pt>
              </c:strCache>
            </c:strRef>
          </c:cat>
          <c:val>
            <c:numRef>
              <c:f>PIVOT!$U$3:$U$7</c:f>
              <c:numCache>
                <c:formatCode>General</c:formatCode>
                <c:ptCount val="4"/>
                <c:pt idx="0">
                  <c:v>38.412504310344829</c:v>
                </c:pt>
                <c:pt idx="1">
                  <c:v>22.072275000000005</c:v>
                </c:pt>
                <c:pt idx="2">
                  <c:v>12.922481896551725</c:v>
                </c:pt>
                <c:pt idx="3">
                  <c:v>66.204455172413802</c:v>
                </c:pt>
              </c:numCache>
            </c:numRef>
          </c:val>
        </c:ser>
        <c:overlap val="100"/>
        <c:axId val="65467904"/>
        <c:axId val="65469440"/>
      </c:barChart>
      <c:catAx>
        <c:axId val="65467904"/>
        <c:scaling>
          <c:orientation val="minMax"/>
        </c:scaling>
        <c:axPos val="b"/>
        <c:tickLblPos val="nextTo"/>
        <c:crossAx val="65469440"/>
        <c:crosses val="autoZero"/>
        <c:auto val="1"/>
        <c:lblAlgn val="ctr"/>
        <c:lblOffset val="100"/>
      </c:catAx>
      <c:valAx>
        <c:axId val="654694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Annual</a:t>
                </a:r>
                <a:r>
                  <a:rPr lang="en-GB" baseline="0"/>
                  <a:t> Domestic Energy Including Efficiency Savings (GWh)</a:t>
                </a:r>
                <a:endParaRPr lang="en-GB"/>
              </a:p>
            </c:rich>
          </c:tx>
          <c:layout/>
        </c:title>
        <c:numFmt formatCode="General" sourceLinked="1"/>
        <c:tickLblPos val="nextTo"/>
        <c:crossAx val="6546790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/>
          </a:pPr>
          <a:endParaRPr lang="en-US"/>
        </a:p>
      </c:txPr>
    </c:legend>
    <c:plotVisOnly val="1"/>
  </c:chart>
  <c:spPr>
    <a:ln>
      <a:noFill/>
    </a:ln>
  </c:spPr>
  <c:txPr>
    <a:bodyPr/>
    <a:lstStyle/>
    <a:p>
      <a:pPr>
        <a:defRPr sz="12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38101</xdr:rowOff>
    </xdr:from>
    <xdr:to>
      <xdr:col>7</xdr:col>
      <xdr:colOff>571500</xdr:colOff>
      <xdr:row>0</xdr:row>
      <xdr:rowOff>666750</xdr:rowOff>
    </xdr:to>
    <xdr:sp macro="" textlink="">
      <xdr:nvSpPr>
        <xdr:cNvPr id="2" name="TextBox 1"/>
        <xdr:cNvSpPr txBox="1"/>
      </xdr:nvSpPr>
      <xdr:spPr>
        <a:xfrm>
          <a:off x="3533775" y="38101"/>
          <a:ext cx="3895725" cy="6286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/>
            <a:t>This</a:t>
          </a:r>
          <a:r>
            <a:rPr lang="en-GB" sz="1100" b="1" baseline="0"/>
            <a:t> sheet has data from EST.  The source data is RESTRICTED USE.  We have used the source data to establish data for the SW Devon area and Dartmoor.</a:t>
          </a:r>
        </a:p>
        <a:p>
          <a:endParaRPr lang="en-GB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1</xdr:rowOff>
    </xdr:from>
    <xdr:to>
      <xdr:col>11</xdr:col>
      <xdr:colOff>238125</xdr:colOff>
      <xdr:row>0</xdr:row>
      <xdr:rowOff>838201</xdr:rowOff>
    </xdr:to>
    <xdr:sp macro="" textlink="">
      <xdr:nvSpPr>
        <xdr:cNvPr id="2" name="TextBox 1"/>
        <xdr:cNvSpPr txBox="1"/>
      </xdr:nvSpPr>
      <xdr:spPr>
        <a:xfrm>
          <a:off x="3048000" y="1"/>
          <a:ext cx="3895725" cy="838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/>
            <a:t>This</a:t>
          </a:r>
          <a:r>
            <a:rPr lang="en-GB" sz="1100" b="1" baseline="0"/>
            <a:t> sheet has takes assumptions on potential energy saving from EST.</a:t>
          </a:r>
        </a:p>
        <a:p>
          <a:endParaRPr lang="en-GB" sz="1100" b="1"/>
        </a:p>
      </xdr:txBody>
    </xdr:sp>
    <xdr:clientData/>
  </xdr:twoCellAnchor>
  <xdr:twoCellAnchor editAs="oneCell">
    <xdr:from>
      <xdr:col>1</xdr:col>
      <xdr:colOff>0</xdr:colOff>
      <xdr:row>9</xdr:row>
      <xdr:rowOff>0</xdr:rowOff>
    </xdr:from>
    <xdr:to>
      <xdr:col>7</xdr:col>
      <xdr:colOff>47625</xdr:colOff>
      <xdr:row>22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590925"/>
          <a:ext cx="4591050" cy="2552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7</xdr:col>
      <xdr:colOff>152400</xdr:colOff>
      <xdr:row>48</xdr:row>
      <xdr:rowOff>133350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6257925"/>
          <a:ext cx="4695825" cy="4895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7</xdr:col>
      <xdr:colOff>142875</xdr:colOff>
      <xdr:row>56</xdr:row>
      <xdr:rowOff>180975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1401425"/>
          <a:ext cx="4686300" cy="1333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7</xdr:col>
      <xdr:colOff>180975</xdr:colOff>
      <xdr:row>68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9600" y="15440025"/>
          <a:ext cx="4724400" cy="1076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7</xdr:col>
      <xdr:colOff>209550</xdr:colOff>
      <xdr:row>89</xdr:row>
      <xdr:rowOff>0</xdr:rowOff>
    </xdr:to>
    <xdr:pic>
      <xdr:nvPicPr>
        <xdr:cNvPr id="307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18697575"/>
          <a:ext cx="4752975" cy="2667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7</xdr:col>
      <xdr:colOff>266700</xdr:colOff>
      <xdr:row>96</xdr:row>
      <xdr:rowOff>76200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555075"/>
          <a:ext cx="4810125" cy="1219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7</xdr:col>
      <xdr:colOff>257175</xdr:colOff>
      <xdr:row>119</xdr:row>
      <xdr:rowOff>180975</xdr:rowOff>
    </xdr:to>
    <xdr:pic>
      <xdr:nvPicPr>
        <xdr:cNvPr id="307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9600" y="28127325"/>
          <a:ext cx="4800600" cy="24669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7</xdr:col>
      <xdr:colOff>142875</xdr:colOff>
      <xdr:row>136</xdr:row>
      <xdr:rowOff>66675</xdr:rowOff>
    </xdr:to>
    <xdr:pic>
      <xdr:nvPicPr>
        <xdr:cNvPr id="308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09600" y="30794325"/>
          <a:ext cx="4686300" cy="2924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9</xdr:col>
      <xdr:colOff>6043</xdr:colOff>
      <xdr:row>24</xdr:row>
      <xdr:rowOff>161925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762000"/>
          <a:ext cx="4273243" cy="3971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10</xdr:col>
      <xdr:colOff>323850</xdr:colOff>
      <xdr:row>3</xdr:row>
      <xdr:rowOff>142875</xdr:rowOff>
    </xdr:to>
    <xdr:sp macro="" textlink="">
      <xdr:nvSpPr>
        <xdr:cNvPr id="3" name="TextBox 2"/>
        <xdr:cNvSpPr txBox="1"/>
      </xdr:nvSpPr>
      <xdr:spPr>
        <a:xfrm>
          <a:off x="609600" y="190500"/>
          <a:ext cx="5810250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/>
            <a:t>These factors are</a:t>
          </a:r>
          <a:r>
            <a:rPr lang="en-GB" sz="1100" b="1" baseline="0"/>
            <a:t> used to account for heat lost through energy efficiency of electrical items which must be made up through the heating system</a:t>
          </a:r>
        </a:p>
        <a:p>
          <a:endParaRPr lang="en-GB" sz="1100" b="1" baseline="0"/>
        </a:p>
        <a:p>
          <a:endParaRPr lang="en-GB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13</xdr:col>
      <xdr:colOff>238125</xdr:colOff>
      <xdr:row>0</xdr:row>
      <xdr:rowOff>838200</xdr:rowOff>
    </xdr:to>
    <xdr:sp macro="" textlink="">
      <xdr:nvSpPr>
        <xdr:cNvPr id="2" name="TextBox 1"/>
        <xdr:cNvSpPr txBox="1"/>
      </xdr:nvSpPr>
      <xdr:spPr>
        <a:xfrm>
          <a:off x="4600575" y="0"/>
          <a:ext cx="3895725" cy="8382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/>
            <a:t>Degree day</a:t>
          </a:r>
          <a:r>
            <a:rPr lang="en-GB" sz="1100" b="1" baseline="0"/>
            <a:t> data for Plymouth.  </a:t>
          </a:r>
        </a:p>
        <a:p>
          <a:endParaRPr lang="en-GB" sz="11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0807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4020" cy="608076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0.28583</cdr:x>
      <cdr:y>0.39724</cdr:y>
    </cdr:from>
    <cdr:to>
      <cdr:x>0.42752</cdr:x>
      <cdr:y>0.63283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9380" y="2415540"/>
          <a:ext cx="1318260" cy="14325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1400"/>
            <a:t>Dartmoor</a:t>
          </a:r>
        </a:p>
        <a:p xmlns:a="http://schemas.openxmlformats.org/drawingml/2006/main">
          <a:pPr algn="ctr"/>
          <a:r>
            <a:rPr lang="en-GB" sz="1400"/>
            <a:t>West</a:t>
          </a:r>
          <a:r>
            <a:rPr lang="en-GB" sz="1400" baseline="0"/>
            <a:t> Devon</a:t>
          </a:r>
        </a:p>
        <a:p xmlns:a="http://schemas.openxmlformats.org/drawingml/2006/main">
          <a:pPr algn="ctr"/>
          <a:r>
            <a:rPr lang="en-GB" sz="1400" baseline="0"/>
            <a:t>South Hams</a:t>
          </a:r>
        </a:p>
        <a:p xmlns:a="http://schemas.openxmlformats.org/drawingml/2006/main">
          <a:pPr algn="ctr"/>
          <a:r>
            <a:rPr lang="en-GB" sz="1400" baseline="0"/>
            <a:t>SW Devon</a:t>
          </a:r>
          <a:endParaRPr lang="en-GB" sz="1400"/>
        </a:p>
      </cdr:txBody>
    </cdr:sp>
  </cdr:relSizeAnchor>
  <cdr:relSizeAnchor xmlns:cdr="http://schemas.openxmlformats.org/drawingml/2006/chartDrawing">
    <cdr:from>
      <cdr:x>0.40622</cdr:x>
      <cdr:y>0.42105</cdr:y>
    </cdr:from>
    <cdr:to>
      <cdr:x>0.50942</cdr:x>
      <cdr:y>0.42105</cdr:y>
    </cdr:to>
    <cdr:sp macro="" textlink="">
      <cdr:nvSpPr>
        <cdr:cNvPr id="10" name="Straight Arrow Connector 9"/>
        <cdr:cNvSpPr/>
      </cdr:nvSpPr>
      <cdr:spPr>
        <a:xfrm xmlns:a="http://schemas.openxmlformats.org/drawingml/2006/main">
          <a:off x="3779520" y="2560320"/>
          <a:ext cx="960120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0.40622</cdr:x>
      <cdr:y>0.52256</cdr:y>
    </cdr:from>
    <cdr:to>
      <cdr:x>0.63964</cdr:x>
      <cdr:y>0.53008</cdr:y>
    </cdr:to>
    <cdr:sp macro="" textlink="">
      <cdr:nvSpPr>
        <cdr:cNvPr id="11" name="Straight Arrow Connector 10"/>
        <cdr:cNvSpPr/>
      </cdr:nvSpPr>
      <cdr:spPr>
        <a:xfrm xmlns:a="http://schemas.openxmlformats.org/drawingml/2006/main" flipV="1">
          <a:off x="3779520" y="3177540"/>
          <a:ext cx="2171700" cy="4572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0.41278</cdr:x>
      <cdr:y>0.48496</cdr:y>
    </cdr:from>
    <cdr:to>
      <cdr:x>0.59869</cdr:x>
      <cdr:y>0.49373</cdr:y>
    </cdr:to>
    <cdr:sp macro="" textlink="">
      <cdr:nvSpPr>
        <cdr:cNvPr id="12" name="Straight Arrow Connector 11"/>
        <cdr:cNvSpPr/>
      </cdr:nvSpPr>
      <cdr:spPr>
        <a:xfrm xmlns:a="http://schemas.openxmlformats.org/drawingml/2006/main" flipV="1">
          <a:off x="3840480" y="2948940"/>
          <a:ext cx="1729740" cy="5334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0.40704</cdr:x>
      <cdr:y>0.45363</cdr:y>
    </cdr:from>
    <cdr:to>
      <cdr:x>0.5561</cdr:x>
      <cdr:y>0.46115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flipV="1">
          <a:off x="3787140" y="2758441"/>
          <a:ext cx="1386840" cy="45719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8171" cy="60789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0.69384</cdr:x>
      <cdr:y>0.09427</cdr:y>
    </cdr:from>
    <cdr:to>
      <cdr:x>0.7371</cdr:x>
      <cdr:y>0.92229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458381" y="573049"/>
          <a:ext cx="402672" cy="503353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 Lash" refreshedDate="41346.516472569441" createdVersion="3" refreshedVersion="3" minRefreshableVersion="3" recordCount="4">
  <cacheSource type="worksheet">
    <worksheetSource ref="B4:AO8" sheet="summary"/>
  </cacheSource>
  <cacheFields count="40">
    <cacheField name="Area" numFmtId="0">
      <sharedItems count="4">
        <s v="South Hams"/>
        <s v="West Devon"/>
        <s v="Dartmoor"/>
        <s v="SW Devon"/>
      </sharedItems>
    </cacheField>
    <cacheField name="Baseline Energy" numFmtId="1">
      <sharedItems containsSemiMixedTypes="0" containsString="0" containsNumber="1" minValue="167.45603404060932" maxValue="675.0285808398703"/>
    </cacheField>
    <cacheField name="Cavity Wall Insulation: Number of Measures" numFmtId="1">
      <sharedItems containsSemiMixedTypes="0" containsString="0" containsNumber="1" minValue="2389.7858691100409" maxValue="11511.858913176398"/>
    </cacheField>
    <cacheField name="Cavity Wall Insulation" numFmtId="1">
      <sharedItems containsSemiMixedTypes="0" containsString="0" containsNumber="1" minValue="7.2105608119699518" maxValue="34.734057065618451"/>
    </cacheField>
    <cacheField name="Solid Wall Insulation: Number of Measures" numFmtId="1">
      <sharedItems containsSemiMixedTypes="0" containsString="0" containsNumber="1" minValue="4955.817786669948" maxValue="22123.563237963535"/>
    </cacheField>
    <cacheField name="Solid Wall Insulation" numFmtId="1">
      <sharedItems containsSemiMixedTypes="0" containsString="0" containsNumber="1" minValue="51.534096596298497" maxValue="230.05644961890962"/>
    </cacheField>
    <cacheField name="Virgin Loft Insulation: Number of Measures" numFmtId="1">
      <sharedItems containsSemiMixedTypes="0" containsString="0" containsNumber="1" minValue="306.72192838999985" maxValue="1224.8168715100007"/>
    </cacheField>
    <cacheField name="Virgin Loft Insulation" numFmtId="1">
      <sharedItems containsSemiMixedTypes="0" containsString="0" containsNumber="1" minValue="1.1898695497887926" maxValue="4.7514447601681065"/>
    </cacheField>
    <cacheField name="Top-up Loft Insulation: Number of Measures" numFmtId="1">
      <sharedItems containsSemiMixedTypes="0" containsString="0" containsNumber="1" minValue="5823.4224677800057" maxValue="28572.572603020002"/>
    </cacheField>
    <cacheField name="Top-up Loft Insulation" numFmtId="1">
      <sharedItems containsSemiMixedTypes="0" containsString="0" containsNumber="1" minValue="3.137619864105607" maxValue="15.394705066282331"/>
    </cacheField>
    <cacheField name="Single to Double Glazing: Number of Measures" numFmtId="1">
      <sharedItems containsSemiMixedTypes="0" containsString="0" containsNumber="1" minValue="3674.0329622800032" maxValue="15470.518083240011"/>
    </cacheField>
    <cacheField name="Single to Double Glazing" numFmtId="1">
      <sharedItems containsSemiMixedTypes="0" containsString="0" containsNumber="1" minValue="6.0740594235938268" maxValue="25.576484238472432"/>
    </cacheField>
    <cacheField name="Double to Triple Glazing: Number of Measures" numFmtId="1">
      <sharedItems containsSemiMixedTypes="0" containsString="0" containsNumber="1" minValue="12602" maxValue="63363.999999999927"/>
    </cacheField>
    <cacheField name="Double to Triple Glazing" numFmtId="1">
      <sharedItems containsSemiMixedTypes="0" containsString="0" containsNumber="1" minValue="14.510923645320196" maxValue="72.962241379310257"/>
    </cacheField>
    <cacheField name="Current to Improved Draught proofing: Number of Measures" numFmtId="1">
      <sharedItems containsSemiMixedTypes="0" containsString="0" containsNumber="1" minValue="2806.1979637871118" maxValue="14109.818106443943"/>
    </cacheField>
    <cacheField name="Current to Improved Draught proofing" numFmtId="1">
      <sharedItems containsSemiMixedTypes="0" containsString="0" containsNumber="1" minValue="9.3162067776231989" maxValue="46.842733396073356"/>
    </cacheField>
    <cacheField name="Improved to Advanced Draught proofing: Number of Measures" numFmtId="1">
      <sharedItems containsSemiMixedTypes="0" containsString="0" containsNumber="1" minValue="2806.1979637871118" maxValue="14109.818106443943"/>
    </cacheField>
    <cacheField name="Improved to Advanced Draught proofing" numFmtId="1">
      <sharedItems containsSemiMixedTypes="0" containsString="0" containsNumber="1" minValue="29.285883436825088" maxValue="147.25208047063839"/>
    </cacheField>
    <cacheField name="MVHR: Number of Measures" numFmtId="1">
      <sharedItems containsSemiMixedTypes="0" containsString="0" containsNumber="1" minValue="12601.999999850001" maxValue="63363.999993159901"/>
    </cacheField>
    <cacheField name="MVHR" numFmtId="1">
      <sharedItems containsSemiMixedTypes="0" containsString="0" containsNumber="1" minValue="8.8074414672419898" maxValue="44.284615225894349"/>
    </cacheField>
    <cacheField name="Insulation to tanks and Primary Circuits: Number of Measures" numFmtId="1">
      <sharedItems containsSemiMixedTypes="0" containsString="0" containsNumber="1" minValue="541.26051018390353" maxValue="2721.5069804231757"/>
    </cacheField>
    <cacheField name="Insulation to tanks and Primary Circuits" numFmtId="1">
      <sharedItems containsSemiMixedTypes="0" containsString="0" containsNumber="1" minValue="0.29162743005598257" maxValue="1.4663291920383492"/>
    </cacheField>
    <cacheField name="Lighting Replacements: Number of Measures" numFmtId="1">
      <sharedItems containsSemiMixedTypes="0" containsString="0" containsNumber="1" containsInteger="1" minValue="12602" maxValue="63364"/>
    </cacheField>
    <cacheField name="Lighting Replacements" numFmtId="1">
      <sharedItems containsSemiMixedTypes="0" containsString="0" containsNumber="1" minValue="3.5364758832900001" maxValue="17.78172177978"/>
    </cacheField>
    <cacheField name="Appliances: Fridges and Freezers: Number of Measures" numFmtId="1">
      <sharedItems containsSemiMixedTypes="0" containsString="0" containsNumber="1" minValue="12488.582" maxValue="62793.724000000002"/>
    </cacheField>
    <cacheField name="Appliances: Fridges and Freezers" numFmtId="1">
      <sharedItems containsSemiMixedTypes="0" containsString="0" containsNumber="1" minValue="2.8303990393237051" maxValue="14.231503311197212"/>
    </cacheField>
    <cacheField name="Appliances: Dishwashers: Number of Measures" numFmtId="1">
      <sharedItems containsSemiMixedTypes="0" containsString="0" containsNumber="1" minValue="4942.7956015936252" maxValue="24852.824988047807"/>
    </cacheField>
    <cacheField name="Appliances: Dishwashers" numFmtId="1">
      <sharedItems containsSemiMixedTypes="0" containsString="0" containsNumber="1" minValue="0.41321771229322701" maxValue="2.0776961690007965"/>
    </cacheField>
    <cacheField name="Appliances: Laundry: Number of Measures" numFmtId="1">
      <sharedItems containsSemiMixedTypes="0" containsString="0" containsNumber="1" minValue="11077.157999999999" maxValue="55696.955999999998"/>
    </cacheField>
    <cacheField name="Appliances: Laundry" numFmtId="1">
      <sharedItems containsSemiMixedTypes="0" containsString="0" containsNumber="1" minValue="1.1068750834266929" maxValue="5.5654684007497996"/>
    </cacheField>
    <cacheField name="Appliances: Cooking: Number of Measures" numFmtId="1">
      <sharedItems containsSemiMixedTypes="0" containsString="0" containsNumber="1" containsInteger="1" minValue="12602" maxValue="63364"/>
    </cacheField>
    <cacheField name="Appliances: Cooking" numFmtId="1">
      <sharedItems containsSemiMixedTypes="0" containsString="0" containsNumber="1" minValue="0.54230531021195261" maxValue="2.7267603298103609"/>
    </cacheField>
    <cacheField name="Appliances: Audio-Visual: Number of Measures" numFmtId="1">
      <sharedItems containsSemiMixedTypes="0" containsString="0" containsNumber="1" containsInteger="1" minValue="12602" maxValue="63364"/>
    </cacheField>
    <cacheField name="Appliances: Audio-Visual" numFmtId="1">
      <sharedItems containsSemiMixedTypes="0" containsString="0" containsNumber="1" minValue="1.2845512375409067" maxValue="6.4588402329425501"/>
    </cacheField>
    <cacheField name="Appliances: Computers: Number of Measures" numFmtId="1">
      <sharedItems containsSemiMixedTypes="0" containsString="0" containsNumber="1" containsInteger="1" minValue="12602" maxValue="63364"/>
    </cacheField>
    <cacheField name="Appliances: Computers" numFmtId="1">
      <sharedItems containsSemiMixedTypes="0" containsString="0" containsNumber="1" minValue="1.1226223378104525" maxValue="5.6446470253151499"/>
    </cacheField>
    <cacheField name="Hot Water Measures: Number of Measures" numFmtId="1">
      <sharedItems containsSemiMixedTypes="0" containsString="0" containsNumber="1" containsInteger="1" minValue="12602" maxValue="63364"/>
    </cacheField>
    <cacheField name="Hot Water Measures" numFmtId="1">
      <sharedItems containsSemiMixedTypes="0" containsString="0" containsNumber="1" minValue="1.4362092228012562" maxValue="7.2213903502284404"/>
    </cacheField>
    <cacheField name="Turning Down Thermostat 1oC: Number of Measures" numFmtId="1">
      <sharedItems containsSemiMixedTypes="0" containsString="0" containsNumber="1" minValue="9993.3860000000004" maxValue="51198.112000000001"/>
    </cacheField>
    <cacheField name="Turning Down Thermostat 1oC" numFmtId="1">
      <sharedItems containsSemiMixedTypes="0" containsString="0" containsNumber="1" minValue="12.922481896551725" maxValue="66.20445517241380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n v="363.8021988978241"/>
    <n v="6088.2603838709929"/>
    <n v="18.369751158231445"/>
    <n v="11785.917700088969"/>
    <n v="122.5583036701062"/>
    <n v="629.4203895000004"/>
    <n v="2.4417170282327603"/>
    <n v="16159.621982189999"/>
    <n v="8.7066928783351294"/>
    <n v="8346.1619593400046"/>
    <n v="13.798211453309744"/>
    <n v="36314.999999999942"/>
    <n v="41.815917487684658"/>
    <n v="8086.5798329573854"/>
    <n v="26.846377490032257"/>
    <n v="8086.5798329573854"/>
    <n v="84.392704095247026"/>
    <n v="36314.999994599901"/>
    <n v="25.380275895821203"/>
    <n v="1559.7425350998617"/>
    <n v="0.84037852106673594"/>
    <n v="36315"/>
    <n v="10.191011085675001"/>
    <n v="35988.165000000001"/>
    <n v="8.1563197201269926"/>
    <n v="14243.582151394421"/>
    <n v="1.1907634678565735"/>
    <n v="31920.884999999998"/>
    <n v="3.1896658192858558"/>
    <n v="36315"/>
    <n v="1.5627533201354595"/>
    <n v="36315"/>
    <n v="3.7016726068320924"/>
    <n v="36315"/>
    <n v="3.235044453069877"/>
    <n v="36315"/>
    <n v="4.1387032158409482"/>
    <n v="29705.670000000002"/>
    <n v="38.412504310344829"/>
  </r>
  <r>
    <x v="1"/>
    <n v="247.56296885920506"/>
    <n v="4510.6541634521982"/>
    <n v="13.609732389726462"/>
    <n v="8124.9185513377925"/>
    <n v="84.488646573717361"/>
    <n v="421.57384628000045"/>
    <n v="1.6354157829827605"/>
    <n v="9856.8438366700011"/>
    <n v="5.310799480964441"/>
    <n v="5488.2054465100064"/>
    <n v="9.0733225186705617"/>
    <n v="21633.999999999989"/>
    <n v="24.911071428571415"/>
    <n v="4817.4326891422297"/>
    <n v="15.993240551269663"/>
    <n v="4817.4326891422297"/>
    <n v="50.275416780850186"/>
    <n v="21633.999999200001"/>
    <n v="15.119837224054534"/>
    <n v="929.18821435633777"/>
    <n v="0.50064020170061307"/>
    <n v="21634"/>
    <n v="6.0711092889300007"/>
    <n v="21439.293999999998"/>
    <n v="4.8589789570488042"/>
    <n v="8485.3547091633463"/>
    <n v="0.70937565368605571"/>
    <n v="19016.286"/>
    <n v="1.9001853320784858"/>
    <n v="21634"/>
    <n v="0.93098183471872598"/>
    <n v="21634"/>
    <n v="2.2052040527662258"/>
    <n v="21634"/>
    <n v="1.927218826868063"/>
    <n v="21634"/>
    <n v="2.4655570803112505"/>
    <n v="17069.226000000002"/>
    <n v="22.072275000000005"/>
  </r>
  <r>
    <x v="2"/>
    <n v="167.45603404060932"/>
    <n v="2389.7858691100409"/>
    <n v="7.2105608119699518"/>
    <n v="4955.817786669948"/>
    <n v="51.534096596298497"/>
    <n v="306.72192838999985"/>
    <n v="1.1898695497887926"/>
    <n v="5823.4224677800057"/>
    <n v="3.137619864105607"/>
    <n v="3674.0329622800032"/>
    <n v="6.0740594235938268"/>
    <n v="12602"/>
    <n v="14.510923645320196"/>
    <n v="2806.1979637871118"/>
    <n v="9.3162067776231989"/>
    <n v="2806.1979637871118"/>
    <n v="29.285883436825088"/>
    <n v="12601.999999850001"/>
    <n v="8.8074414672419898"/>
    <n v="541.26051018390353"/>
    <n v="0.29162743005598257"/>
    <n v="12602"/>
    <n v="3.5364758832900001"/>
    <n v="12488.582"/>
    <n v="2.8303990393237051"/>
    <n v="4942.7956015936252"/>
    <n v="0.41321771229322701"/>
    <n v="11077.157999999999"/>
    <n v="1.1068750834266929"/>
    <n v="12602"/>
    <n v="0.54230531021195261"/>
    <n v="12602"/>
    <n v="1.2845512375409067"/>
    <n v="12602"/>
    <n v="1.1226223378104525"/>
    <n v="12602"/>
    <n v="1.4362092228012562"/>
    <n v="9993.3860000000004"/>
    <n v="12.922481896551725"/>
  </r>
  <r>
    <x v="3"/>
    <n v="675.0285808398703"/>
    <n v="11511.858913176398"/>
    <n v="34.734057065618451"/>
    <n v="22123.563237963535"/>
    <n v="230.05644961890962"/>
    <n v="1224.8168715100007"/>
    <n v="4.7514447601681065"/>
    <n v="28572.572603020002"/>
    <n v="15.394705066282331"/>
    <n v="15470.518083240011"/>
    <n v="25.576484238472432"/>
    <n v="63363.999999999927"/>
    <n v="72.962241379310257"/>
    <n v="14109.818106443943"/>
    <n v="46.842733396073356"/>
    <n v="14109.818106443943"/>
    <n v="147.25208047063839"/>
    <n v="63363.999993159901"/>
    <n v="44.284615225894349"/>
    <n v="2721.5069804231757"/>
    <n v="1.4663291920383492"/>
    <n v="63364"/>
    <n v="17.78172177978"/>
    <n v="62793.724000000002"/>
    <n v="14.231503311197212"/>
    <n v="24852.824988047807"/>
    <n v="2.0776961690007965"/>
    <n v="55696.955999999998"/>
    <n v="5.5654684007497996"/>
    <n v="63364"/>
    <n v="2.7267603298103609"/>
    <n v="63364"/>
    <n v="6.4588402329425501"/>
    <n v="63364"/>
    <n v="5.6446470253151499"/>
    <n v="63364"/>
    <n v="7.2213903502284404"/>
    <n v="51198.112000000001"/>
    <n v="66.2044551724138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4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5">
  <location ref="A1:U7" firstHeaderRow="1" firstDataRow="2" firstDataCol="1"/>
  <pivotFields count="40">
    <pivotField axis="axisRow" showAll="0">
      <items count="5">
        <item x="0"/>
        <item x="1"/>
        <item x="2"/>
        <item x="3"/>
        <item t="default"/>
      </items>
    </pivotField>
    <pivotField dataField="1" numFmtId="1" showAll="0" defaultSubtota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/>
    <pivotField dataField="1" numFmtId="1" showAll="0"/>
    <pivotField numFmtId="1" showAll="0" defaultSubtotal="0"/>
    <pivotField dataField="1" numFmtId="1" showAll="0" defaultSubtotal="0"/>
    <pivotField numFmtId="1" showAll="0" defaultSubtotal="0"/>
    <pivotField dataField="1" numFmtId="1" showAll="0" defaultSubtotal="0"/>
    <pivotField numFmtId="1" showAll="0" defaultSubtotal="0"/>
    <pivotField dataField="1" numFmtId="1" showAll="0" defaultSubtotal="0"/>
    <pivotField numFmtId="1" showAll="0" defaultSubtotal="0"/>
    <pivotField dataField="1" numFmtId="1" showAll="0" defaultSubtotal="0"/>
    <pivotField numFmtId="1" showAll="0"/>
    <pivotField dataField="1" numFmtI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</colItems>
  <dataFields count="20">
    <dataField name="Sum of Baseline Energy" fld="1" baseField="0" baseItem="0"/>
    <dataField name="Sum of Cavity Wall Insulation" fld="3" baseField="0" baseItem="0"/>
    <dataField name="Sum of Solid Wall Insulation" fld="5" baseField="0" baseItem="0"/>
    <dataField name="Sum of Virgin Loft Insulation" fld="7" baseField="0" baseItem="0"/>
    <dataField name="Sum of Top-up Loft Insulation" fld="9" baseField="0" baseItem="0"/>
    <dataField name="Sum of Single to Double Glazing" fld="11" baseField="0" baseItem="0"/>
    <dataField name="Sum of Double to Triple Glazing" fld="13" baseField="0" baseItem="0"/>
    <dataField name="Sum of Current to Improved Draught proofing" fld="15" baseField="0" baseItem="0"/>
    <dataField name="Sum of Improved to Advanced Draught proofing" fld="17" baseField="0" baseItem="0"/>
    <dataField name="Sum of MVHR" fld="19" baseField="0" baseItem="0"/>
    <dataField name="Sum of Insulation to tanks and Primary Circuits" fld="21" baseField="0" baseItem="0"/>
    <dataField name="Sum of Lighting Replacements" fld="23" baseField="0" baseItem="0"/>
    <dataField name="Sum of Appliances: Fridges and Freezers" fld="25" baseField="0" baseItem="0"/>
    <dataField name="Sum of Appliances: Dishwashers" fld="27" baseField="0" baseItem="0"/>
    <dataField name="Sum of Appliances: Laundry" fld="29" baseField="0" baseItem="0"/>
    <dataField name="Sum of Appliances: Cooking" fld="31" baseField="0" baseItem="0"/>
    <dataField name="Sum of Appliances: Audio-Visual" fld="33" baseField="0" baseItem="0"/>
    <dataField name="Sum of Appliances: Computers" fld="35" baseField="0" baseItem="0"/>
    <dataField name="Sum of Hot Water Measures" fld="37" baseField="0" baseItem="0"/>
    <dataField name="Sum of Turning Down Thermostat 1oC" fld="39" baseField="0" baseItem="0"/>
  </dataFields>
  <chartFormats count="20">
    <chartFormat chart="1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1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2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1" format="21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1" format="22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1" format="23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1" format="24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1" format="25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1" format="26" series="1">
      <pivotArea type="data" outline="0" fieldPosition="0">
        <references count="1">
          <reference field="4294967294" count="1" selected="0">
            <x v="12"/>
          </reference>
        </references>
      </pivotArea>
    </chartFormat>
    <chartFormat chart="1" format="27" series="1">
      <pivotArea type="data" outline="0" fieldPosition="0">
        <references count="1">
          <reference field="4294967294" count="1" selected="0">
            <x v="13"/>
          </reference>
        </references>
      </pivotArea>
    </chartFormat>
    <chartFormat chart="1" format="28" series="1">
      <pivotArea type="data" outline="0" fieldPosition="0">
        <references count="1">
          <reference field="4294967294" count="1" selected="0">
            <x v="14"/>
          </reference>
        </references>
      </pivotArea>
    </chartFormat>
    <chartFormat chart="1" format="29" series="1">
      <pivotArea type="data" outline="0" fieldPosition="0">
        <references count="1">
          <reference field="4294967294" count="1" selected="0">
            <x v="19"/>
          </reference>
        </references>
      </pivotArea>
    </chartFormat>
    <chartFormat chart="1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31" series="1">
      <pivotArea type="data" outline="0" fieldPosition="0">
        <references count="1">
          <reference field="4294967294" count="1" selected="0">
            <x v="15"/>
          </reference>
        </references>
      </pivotArea>
    </chartFormat>
    <chartFormat chart="1" format="32" series="1">
      <pivotArea type="data" outline="0" fieldPosition="0">
        <references count="1">
          <reference field="4294967294" count="1" selected="0">
            <x v="16"/>
          </reference>
        </references>
      </pivotArea>
    </chartFormat>
    <chartFormat chart="1" format="33" series="1">
      <pivotArea type="data" outline="0" fieldPosition="0">
        <references count="1">
          <reference field="4294967294" count="1" selected="0">
            <x v="17"/>
          </reference>
        </references>
      </pivotArea>
    </chartFormat>
    <chartFormat chart="1" format="34" series="1">
      <pivotArea type="data" outline="0" fieldPosition="0">
        <references count="1">
          <reference field="4294967294" count="1" selected="0">
            <x v="18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nergysavingtrust.org.uk/Energy-Saving-Trust/Our-calculation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google.co.uk/url?sa=t&amp;rct=j&amp;q=&amp;esrc=s&amp;source=web&amp;cd=3&amp;ved=0CEIQFjAC&amp;url=http%3A%2F%2Fefficient-products.defra.gov.uk%2Fspm%2Fdownload%2Fdocument%2Fid%2F579&amp;ei=KWJAUcXSDein0AWHmIHQAg&amp;usg=AFQjCNGjBqEwid9EyjBkeRfyxEXSINqOZQ&amp;bvm=bv.43287494,d.d2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degreedays.net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98"/>
  <sheetViews>
    <sheetView tabSelected="1" zoomScaleNormal="100" workbookViewId="0">
      <selection activeCell="L23" sqref="L23"/>
    </sheetView>
  </sheetViews>
  <sheetFormatPr defaultRowHeight="15"/>
  <cols>
    <col min="2" max="2" width="18.7109375" bestFit="1" customWidth="1"/>
    <col min="3" max="17" width="15" style="2" customWidth="1"/>
  </cols>
  <sheetData>
    <row r="1" spans="2:17" ht="65.25" customHeight="1"/>
    <row r="2" spans="2:17" ht="18.75">
      <c r="B2" s="1" t="s">
        <v>0</v>
      </c>
    </row>
    <row r="3" spans="2:17" ht="30">
      <c r="B3" s="3"/>
      <c r="C3" s="4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4" t="s">
        <v>20</v>
      </c>
      <c r="K3" s="4" t="s">
        <v>21</v>
      </c>
      <c r="L3" s="4" t="s">
        <v>22</v>
      </c>
      <c r="M3" s="4" t="s">
        <v>23</v>
      </c>
      <c r="N3" s="4" t="s">
        <v>24</v>
      </c>
      <c r="O3" s="4" t="s">
        <v>25</v>
      </c>
      <c r="P3" s="4" t="s">
        <v>26</v>
      </c>
      <c r="Q3" s="4" t="s">
        <v>27</v>
      </c>
    </row>
    <row r="4" spans="2:17">
      <c r="B4" s="5" t="s">
        <v>28</v>
      </c>
      <c r="C4" s="6">
        <v>4395</v>
      </c>
      <c r="D4" s="7">
        <v>0.12102437009500207</v>
      </c>
      <c r="E4" s="6">
        <v>1331</v>
      </c>
      <c r="F4" s="7">
        <v>3.6651521409885722E-2</v>
      </c>
      <c r="G4" s="6">
        <v>5493</v>
      </c>
      <c r="H4" s="7">
        <v>0.15125980999586947</v>
      </c>
      <c r="I4" s="6">
        <v>2125</v>
      </c>
      <c r="J4" s="7">
        <v>5.8515764835467436E-2</v>
      </c>
      <c r="K4" s="6">
        <v>10194</v>
      </c>
      <c r="L4" s="7">
        <v>0.28071045022717883</v>
      </c>
      <c r="M4" s="6">
        <v>9453</v>
      </c>
      <c r="N4" s="7">
        <v>0.26030565881866996</v>
      </c>
      <c r="O4" s="6">
        <v>3324</v>
      </c>
      <c r="P4" s="7">
        <v>9.1532424617926475E-2</v>
      </c>
      <c r="Q4" s="6">
        <v>36315</v>
      </c>
    </row>
    <row r="5" spans="2:17">
      <c r="B5" s="5" t="s">
        <v>29</v>
      </c>
      <c r="C5" s="6">
        <v>3915</v>
      </c>
      <c r="D5" s="7">
        <v>0.18096514745308312</v>
      </c>
      <c r="E5" s="6">
        <v>1519</v>
      </c>
      <c r="F5" s="7">
        <v>7.0213552741055743E-2</v>
      </c>
      <c r="G5" s="6">
        <v>3609</v>
      </c>
      <c r="H5" s="7">
        <v>0.16682074512341685</v>
      </c>
      <c r="I5" s="6">
        <v>1338</v>
      </c>
      <c r="J5" s="7">
        <v>6.1847092539521122E-2</v>
      </c>
      <c r="K5" s="6">
        <v>4817</v>
      </c>
      <c r="L5" s="7">
        <v>0.22265877784968105</v>
      </c>
      <c r="M5" s="6">
        <v>4919</v>
      </c>
      <c r="N5" s="7">
        <v>0.22737357862623647</v>
      </c>
      <c r="O5" s="6">
        <v>1517</v>
      </c>
      <c r="P5" s="7">
        <v>7.0121105667005634E-2</v>
      </c>
      <c r="Q5" s="6">
        <v>21634</v>
      </c>
    </row>
    <row r="6" spans="2:17">
      <c r="B6" s="5" t="s">
        <v>30</v>
      </c>
      <c r="C6" s="6">
        <v>2444</v>
      </c>
      <c r="D6" s="7">
        <v>0.1939374702428186</v>
      </c>
      <c r="E6" s="6">
        <v>627</v>
      </c>
      <c r="F6" s="7">
        <v>4.9754007300428504E-2</v>
      </c>
      <c r="G6" s="6">
        <v>2703</v>
      </c>
      <c r="H6" s="7">
        <v>0.21448976352959848</v>
      </c>
      <c r="I6" s="6">
        <v>893</v>
      </c>
      <c r="J6" s="7">
        <v>7.0861767973337569E-2</v>
      </c>
      <c r="K6" s="6">
        <v>2985</v>
      </c>
      <c r="L6" s="7">
        <v>0.2368671639422314</v>
      </c>
      <c r="M6" s="6">
        <v>1830</v>
      </c>
      <c r="N6" s="7">
        <v>0.14521504523091572</v>
      </c>
      <c r="O6" s="6">
        <v>1120</v>
      </c>
      <c r="P6" s="7">
        <v>8.8874781780669737E-2</v>
      </c>
      <c r="Q6" s="6">
        <v>12602</v>
      </c>
    </row>
    <row r="7" spans="2:17">
      <c r="B7" s="8" t="s">
        <v>31</v>
      </c>
      <c r="C7" s="9">
        <v>9435</v>
      </c>
      <c r="D7" s="10">
        <v>0.14890158449592827</v>
      </c>
      <c r="E7" s="9">
        <v>3126</v>
      </c>
      <c r="F7" s="10">
        <v>4.9334006691496748E-2</v>
      </c>
      <c r="G7" s="9">
        <v>10244</v>
      </c>
      <c r="H7" s="10">
        <v>0.16166908654756645</v>
      </c>
      <c r="I7" s="9">
        <v>3854</v>
      </c>
      <c r="J7" s="10">
        <v>6.0823180354775581E-2</v>
      </c>
      <c r="K7" s="9">
        <v>16323</v>
      </c>
      <c r="L7" s="10">
        <v>0.25760684300233572</v>
      </c>
      <c r="M7" s="9">
        <v>15039</v>
      </c>
      <c r="N7" s="10">
        <v>0.23734297077204722</v>
      </c>
      <c r="O7" s="9">
        <v>5343</v>
      </c>
      <c r="P7" s="10">
        <v>8.4322328135850014E-2</v>
      </c>
      <c r="Q7" s="9">
        <v>63364</v>
      </c>
    </row>
    <row r="9" spans="2:17" ht="18.75">
      <c r="B9" s="1" t="s">
        <v>1</v>
      </c>
    </row>
    <row r="10" spans="2:17" ht="30">
      <c r="B10" s="3"/>
      <c r="C10" s="4" t="s">
        <v>32</v>
      </c>
      <c r="D10" s="4" t="s">
        <v>33</v>
      </c>
      <c r="E10" s="4" t="s">
        <v>34</v>
      </c>
      <c r="F10" s="4" t="s">
        <v>35</v>
      </c>
      <c r="G10" s="4" t="s">
        <v>36</v>
      </c>
      <c r="H10" s="4" t="s">
        <v>37</v>
      </c>
      <c r="I10" s="4" t="s">
        <v>38</v>
      </c>
      <c r="J10" s="4" t="s">
        <v>39</v>
      </c>
      <c r="K10" s="4" t="s">
        <v>40</v>
      </c>
      <c r="L10" s="4" t="s">
        <v>41</v>
      </c>
      <c r="M10" s="4" t="s">
        <v>27</v>
      </c>
    </row>
    <row r="11" spans="2:17">
      <c r="B11" s="5" t="s">
        <v>28</v>
      </c>
      <c r="C11" s="6">
        <v>12928</v>
      </c>
      <c r="D11" s="7">
        <v>0.3936902369206407</v>
      </c>
      <c r="E11" s="6">
        <v>4099</v>
      </c>
      <c r="F11" s="7">
        <v>0.12482489798404288</v>
      </c>
      <c r="G11" s="6">
        <v>3367</v>
      </c>
      <c r="H11" s="7">
        <v>0.10253365003958828</v>
      </c>
      <c r="I11" s="6">
        <v>7297</v>
      </c>
      <c r="J11" s="7">
        <v>0.22221207138071747</v>
      </c>
      <c r="K11" s="6">
        <v>5147</v>
      </c>
      <c r="L11" s="7">
        <v>0.15673914367501066</v>
      </c>
      <c r="M11" s="6">
        <v>32838</v>
      </c>
    </row>
    <row r="12" spans="2:17">
      <c r="B12" s="5" t="s">
        <v>29</v>
      </c>
      <c r="C12" s="6">
        <v>8676</v>
      </c>
      <c r="D12" s="7">
        <v>0.43194264661953602</v>
      </c>
      <c r="E12" s="6">
        <v>2416</v>
      </c>
      <c r="F12" s="7">
        <v>0.12028278402867669</v>
      </c>
      <c r="G12" s="6">
        <v>1771</v>
      </c>
      <c r="H12" s="7">
        <v>8.8170865279299016E-2</v>
      </c>
      <c r="I12" s="6">
        <v>4011</v>
      </c>
      <c r="J12" s="7">
        <v>0.19969132729264163</v>
      </c>
      <c r="K12" s="6">
        <v>3212</v>
      </c>
      <c r="L12" s="7">
        <v>0.15991237677984665</v>
      </c>
      <c r="M12" s="6">
        <v>20086</v>
      </c>
    </row>
    <row r="13" spans="2:17">
      <c r="B13" s="5" t="s">
        <v>30</v>
      </c>
      <c r="C13" s="6">
        <v>5115</v>
      </c>
      <c r="D13" s="7">
        <v>0.44707630451883579</v>
      </c>
      <c r="E13" s="6">
        <v>1309</v>
      </c>
      <c r="F13" s="7">
        <v>0.11441307578008915</v>
      </c>
      <c r="G13" s="6">
        <v>856</v>
      </c>
      <c r="H13" s="7">
        <v>7.4818634734725983E-2</v>
      </c>
      <c r="I13" s="6">
        <v>2321</v>
      </c>
      <c r="J13" s="7">
        <v>0.20286688226553623</v>
      </c>
      <c r="K13" s="6">
        <v>1840</v>
      </c>
      <c r="L13" s="7">
        <v>0.16082510270081288</v>
      </c>
      <c r="M13" s="6">
        <v>11441</v>
      </c>
    </row>
    <row r="14" spans="2:17">
      <c r="B14" s="8" t="s">
        <v>31</v>
      </c>
      <c r="C14" s="9">
        <v>23556</v>
      </c>
      <c r="D14" s="10">
        <v>0.40739523702461045</v>
      </c>
      <c r="E14" s="9">
        <v>7178</v>
      </c>
      <c r="F14" s="10">
        <v>0.12414174780788986</v>
      </c>
      <c r="G14" s="9">
        <v>5538</v>
      </c>
      <c r="H14" s="10">
        <v>9.5778350426315703E-2</v>
      </c>
      <c r="I14" s="9">
        <v>12173</v>
      </c>
      <c r="J14" s="10">
        <v>0.21052904654018437</v>
      </c>
      <c r="K14" s="9">
        <v>9376</v>
      </c>
      <c r="L14" s="10">
        <v>0.16215561820099963</v>
      </c>
      <c r="M14" s="9">
        <v>57821</v>
      </c>
    </row>
    <row r="16" spans="2:17" ht="18.75">
      <c r="B16" s="1" t="s">
        <v>2</v>
      </c>
    </row>
    <row r="17" spans="2:15" ht="30">
      <c r="B17" s="3"/>
      <c r="C17" s="4" t="s">
        <v>42</v>
      </c>
      <c r="D17" s="4" t="s">
        <v>43</v>
      </c>
      <c r="E17" s="4" t="s">
        <v>44</v>
      </c>
      <c r="F17" s="4" t="s">
        <v>45</v>
      </c>
      <c r="G17" s="4" t="s">
        <v>46</v>
      </c>
      <c r="H17" s="4" t="s">
        <v>47</v>
      </c>
      <c r="I17" s="4" t="s">
        <v>25</v>
      </c>
      <c r="J17" s="4" t="s">
        <v>26</v>
      </c>
      <c r="K17" s="4" t="s">
        <v>27</v>
      </c>
    </row>
    <row r="18" spans="2:15">
      <c r="B18" s="5" t="s">
        <v>28</v>
      </c>
      <c r="C18" s="6">
        <v>26272</v>
      </c>
      <c r="D18" s="7">
        <v>0.72344761117995315</v>
      </c>
      <c r="E18" s="6">
        <v>2291</v>
      </c>
      <c r="F18" s="7">
        <v>6.3086878700261598E-2</v>
      </c>
      <c r="G18" s="6">
        <v>4428</v>
      </c>
      <c r="H18" s="7">
        <v>0.12193308550185873</v>
      </c>
      <c r="I18" s="6">
        <v>3324</v>
      </c>
      <c r="J18" s="7">
        <v>9.1532424617926475E-2</v>
      </c>
      <c r="K18" s="6">
        <v>36315</v>
      </c>
    </row>
    <row r="19" spans="2:15">
      <c r="B19" s="5" t="s">
        <v>29</v>
      </c>
      <c r="C19" s="6">
        <v>15980</v>
      </c>
      <c r="D19" s="7">
        <v>0.73865212166034944</v>
      </c>
      <c r="E19" s="6">
        <v>1588</v>
      </c>
      <c r="F19" s="7">
        <v>7.3402976795784419E-2</v>
      </c>
      <c r="G19" s="6">
        <v>2549</v>
      </c>
      <c r="H19" s="7">
        <v>0.1178237958768605</v>
      </c>
      <c r="I19" s="6">
        <v>1517</v>
      </c>
      <c r="J19" s="7">
        <v>7.0121105667005634E-2</v>
      </c>
      <c r="K19" s="6">
        <v>21634</v>
      </c>
    </row>
    <row r="20" spans="2:15">
      <c r="B20" s="5" t="s">
        <v>30</v>
      </c>
      <c r="C20" s="6">
        <v>9048</v>
      </c>
      <c r="D20" s="7">
        <v>0.71798127281383906</v>
      </c>
      <c r="E20" s="6">
        <v>836</v>
      </c>
      <c r="F20" s="7">
        <v>6.6338676400571339E-2</v>
      </c>
      <c r="G20" s="6">
        <v>1598</v>
      </c>
      <c r="H20" s="7">
        <v>0.12680526900491984</v>
      </c>
      <c r="I20" s="6">
        <v>1120</v>
      </c>
      <c r="J20" s="7">
        <v>8.8874781780669737E-2</v>
      </c>
      <c r="K20" s="6">
        <v>12602</v>
      </c>
    </row>
    <row r="21" spans="2:15">
      <c r="B21" s="8" t="s">
        <v>31</v>
      </c>
      <c r="C21" s="9">
        <v>45984</v>
      </c>
      <c r="D21" s="10">
        <v>0.72571176062117293</v>
      </c>
      <c r="E21" s="9">
        <v>4255</v>
      </c>
      <c r="F21" s="10">
        <v>6.7151694968751979E-2</v>
      </c>
      <c r="G21" s="9">
        <v>7782</v>
      </c>
      <c r="H21" s="10">
        <v>0.12281421627422512</v>
      </c>
      <c r="I21" s="9">
        <v>5343</v>
      </c>
      <c r="J21" s="10">
        <v>8.4322328135850014E-2</v>
      </c>
      <c r="K21" s="9">
        <v>63364</v>
      </c>
    </row>
    <row r="23" spans="2:15" ht="18.75">
      <c r="B23" s="1" t="s">
        <v>3</v>
      </c>
    </row>
    <row r="24" spans="2:15" ht="30">
      <c r="B24" s="3"/>
      <c r="C24" s="4" t="s">
        <v>48</v>
      </c>
      <c r="D24" s="4" t="s">
        <v>49</v>
      </c>
      <c r="E24" s="4" t="s">
        <v>50</v>
      </c>
      <c r="F24" s="4" t="s">
        <v>51</v>
      </c>
      <c r="G24" s="4" t="s">
        <v>52</v>
      </c>
      <c r="H24" s="4" t="s">
        <v>53</v>
      </c>
      <c r="I24" s="4" t="s">
        <v>27</v>
      </c>
    </row>
    <row r="25" spans="2:15">
      <c r="B25" s="5" t="s">
        <v>28</v>
      </c>
      <c r="C25" s="11">
        <v>18440.821910639948</v>
      </c>
      <c r="D25" s="7">
        <v>0.50780178750880145</v>
      </c>
      <c r="E25" s="11">
        <v>10898.985549549972</v>
      </c>
      <c r="F25" s="7">
        <v>0.30012351786233421</v>
      </c>
      <c r="G25" s="11">
        <v>6975.1925344099891</v>
      </c>
      <c r="H25" s="7">
        <v>0.1920746946288644</v>
      </c>
      <c r="I25" s="11">
        <v>36314.999994599908</v>
      </c>
    </row>
    <row r="26" spans="2:15">
      <c r="B26" s="5" t="s">
        <v>29</v>
      </c>
      <c r="C26" s="11">
        <v>8998.4272844099978</v>
      </c>
      <c r="D26" s="7">
        <v>0.41593913676355521</v>
      </c>
      <c r="E26" s="11">
        <v>6878.0348857699964</v>
      </c>
      <c r="F26" s="7">
        <v>0.31792710021375342</v>
      </c>
      <c r="G26" s="11">
        <v>5757.5378290199942</v>
      </c>
      <c r="H26" s="7">
        <v>0.26613376302269132</v>
      </c>
      <c r="I26" s="11">
        <v>21633.99999919999</v>
      </c>
    </row>
    <row r="27" spans="2:15">
      <c r="B27" s="5" t="s">
        <v>30</v>
      </c>
      <c r="C27" s="11">
        <v>5256.3963440699945</v>
      </c>
      <c r="D27" s="7">
        <v>0.41710810539061799</v>
      </c>
      <c r="E27" s="11">
        <v>4045.8745173599941</v>
      </c>
      <c r="F27" s="7">
        <v>0.32105019182734146</v>
      </c>
      <c r="G27" s="11">
        <v>3299.7291384199948</v>
      </c>
      <c r="H27" s="7">
        <v>0.26184170278204061</v>
      </c>
      <c r="I27" s="11">
        <v>12601.999999849982</v>
      </c>
    </row>
    <row r="28" spans="2:15">
      <c r="B28" s="8" t="s">
        <v>31</v>
      </c>
      <c r="C28" s="12">
        <v>29728.577842019939</v>
      </c>
      <c r="D28" s="10">
        <v>0.46917141981612787</v>
      </c>
      <c r="E28" s="12">
        <v>19432.267378689958</v>
      </c>
      <c r="F28" s="10">
        <v>0.30667677830925549</v>
      </c>
      <c r="G28" s="12">
        <v>14203.154772449976</v>
      </c>
      <c r="H28" s="10">
        <v>0.22415180187461653</v>
      </c>
      <c r="I28" s="12">
        <v>63363.99999315988</v>
      </c>
    </row>
    <row r="30" spans="2:15" ht="18.75">
      <c r="B30" s="1" t="s">
        <v>4</v>
      </c>
    </row>
    <row r="31" spans="2:15" ht="60">
      <c r="B31" s="3"/>
      <c r="C31" s="4" t="s">
        <v>54</v>
      </c>
      <c r="D31" s="4" t="s">
        <v>55</v>
      </c>
      <c r="E31" s="4" t="s">
        <v>56</v>
      </c>
      <c r="F31" s="4" t="s">
        <v>57</v>
      </c>
      <c r="G31" s="4" t="s">
        <v>58</v>
      </c>
      <c r="H31" s="4" t="s">
        <v>59</v>
      </c>
      <c r="I31" s="4" t="s">
        <v>60</v>
      </c>
      <c r="J31" s="4" t="s">
        <v>61</v>
      </c>
      <c r="K31" s="4" t="s">
        <v>62</v>
      </c>
      <c r="L31" s="4" t="s">
        <v>63</v>
      </c>
      <c r="M31" s="4" t="s">
        <v>64</v>
      </c>
      <c r="N31" s="4" t="s">
        <v>65</v>
      </c>
      <c r="O31" s="4" t="s">
        <v>27</v>
      </c>
    </row>
    <row r="32" spans="2:15">
      <c r="B32" s="5" t="s">
        <v>28</v>
      </c>
      <c r="C32" s="11">
        <v>1081.5337324520895</v>
      </c>
      <c r="D32" s="7">
        <v>2.9782011086683602E-2</v>
      </c>
      <c r="E32" s="11">
        <v>723.33484565678998</v>
      </c>
      <c r="F32" s="7">
        <v>1.9918349050374526E-2</v>
      </c>
      <c r="G32" s="11">
        <v>441.11902460400063</v>
      </c>
      <c r="H32" s="7">
        <v>1.2147019817419679E-2</v>
      </c>
      <c r="I32" s="11">
        <v>16.716321028249993</v>
      </c>
      <c r="J32" s="7">
        <v>4.6031449898762864E-4</v>
      </c>
      <c r="K32" s="11">
        <v>2548.0212419378499</v>
      </c>
      <c r="L32" s="7">
        <v>7.0164429087615152E-2</v>
      </c>
      <c r="M32" s="6">
        <v>0</v>
      </c>
      <c r="N32" s="7">
        <v>0</v>
      </c>
      <c r="O32" s="11">
        <v>36314.999994599908</v>
      </c>
    </row>
    <row r="33" spans="2:15">
      <c r="B33" s="5" t="s">
        <v>29</v>
      </c>
      <c r="C33" s="11">
        <v>460.10725250133919</v>
      </c>
      <c r="D33" s="7">
        <v>2.1267784622277602E-2</v>
      </c>
      <c r="E33" s="11">
        <v>299.08658235137051</v>
      </c>
      <c r="F33" s="7">
        <v>1.3824839713526417E-2</v>
      </c>
      <c r="G33" s="11">
        <v>247.73363388200002</v>
      </c>
      <c r="H33" s="7">
        <v>1.1451124798519046E-2</v>
      </c>
      <c r="I33" s="11">
        <v>11.712930365920005</v>
      </c>
      <c r="J33" s="7">
        <v>5.4141307046099384E-4</v>
      </c>
      <c r="K33" s="11">
        <v>1348.740323217168</v>
      </c>
      <c r="L33" s="7">
        <v>6.2343548269716345E-2</v>
      </c>
      <c r="M33" s="6">
        <v>0</v>
      </c>
      <c r="N33" s="7">
        <v>0</v>
      </c>
      <c r="O33" s="11">
        <v>21633.99999919999</v>
      </c>
    </row>
    <row r="34" spans="2:15">
      <c r="B34" s="5" t="s">
        <v>30</v>
      </c>
      <c r="C34" s="11">
        <v>325.71899705674002</v>
      </c>
      <c r="D34" s="7">
        <v>2.5846611415697308E-2</v>
      </c>
      <c r="E34" s="11">
        <v>259.53969240208966</v>
      </c>
      <c r="F34" s="7">
        <v>2.0595119219582549E-2</v>
      </c>
      <c r="G34" s="11">
        <v>196.64087325800006</v>
      </c>
      <c r="H34" s="7">
        <v>1.5603941696583155E-2</v>
      </c>
      <c r="I34" s="11">
        <v>3.1135741341299981</v>
      </c>
      <c r="J34" s="7">
        <v>2.4706984083217449E-4</v>
      </c>
      <c r="K34" s="11">
        <v>871.07551139899351</v>
      </c>
      <c r="L34" s="7">
        <v>6.9122005349100388E-2</v>
      </c>
      <c r="M34" s="6">
        <v>0</v>
      </c>
      <c r="N34" s="7">
        <v>0</v>
      </c>
      <c r="O34" s="11">
        <v>12601.999999849982</v>
      </c>
    </row>
    <row r="35" spans="2:15">
      <c r="B35" s="8" t="s">
        <v>31</v>
      </c>
      <c r="C35" s="12">
        <v>1690.9668006512784</v>
      </c>
      <c r="D35" s="10">
        <v>2.6686553892333466E-2</v>
      </c>
      <c r="E35" s="12">
        <v>1136.1671914555102</v>
      </c>
      <c r="F35" s="10">
        <v>1.7930799690331404E-2</v>
      </c>
      <c r="G35" s="12">
        <v>774.09503312600077</v>
      </c>
      <c r="H35" s="10">
        <v>1.2216637731354776E-2</v>
      </c>
      <c r="I35" s="12">
        <v>29.567754620679995</v>
      </c>
      <c r="J35" s="10">
        <v>4.6663333476219658E-4</v>
      </c>
      <c r="K35" s="12">
        <v>4289.6116856600911</v>
      </c>
      <c r="L35" s="10">
        <v>6.7697930782828625E-2</v>
      </c>
      <c r="M35" s="9">
        <v>0</v>
      </c>
      <c r="N35" s="10">
        <v>0</v>
      </c>
      <c r="O35" s="12">
        <v>63363.99999315988</v>
      </c>
    </row>
    <row r="37" spans="2:15" ht="18.75">
      <c r="B37" s="1" t="s">
        <v>391</v>
      </c>
    </row>
    <row r="38" spans="2:15" ht="45">
      <c r="B38" s="3"/>
      <c r="C38" s="4" t="s">
        <v>66</v>
      </c>
      <c r="D38" s="4" t="s">
        <v>67</v>
      </c>
      <c r="E38" s="4" t="s">
        <v>68</v>
      </c>
      <c r="F38" s="4" t="s">
        <v>69</v>
      </c>
      <c r="G38" s="4" t="s">
        <v>70</v>
      </c>
      <c r="H38" s="4" t="s">
        <v>71</v>
      </c>
      <c r="I38" s="4" t="s">
        <v>72</v>
      </c>
      <c r="J38" s="4" t="s">
        <v>73</v>
      </c>
      <c r="K38" s="4" t="s">
        <v>27</v>
      </c>
    </row>
    <row r="39" spans="2:15">
      <c r="B39" s="5" t="s">
        <v>28</v>
      </c>
      <c r="C39" s="11">
        <v>2214.7124762099993</v>
      </c>
      <c r="D39" s="7">
        <v>6.0986162083503041E-2</v>
      </c>
      <c r="E39" s="11">
        <v>629.4203895000004</v>
      </c>
      <c r="F39" s="7">
        <v>1.7332242584553393E-2</v>
      </c>
      <c r="G39" s="11">
        <v>16159.621982189999</v>
      </c>
      <c r="H39" s="7">
        <v>0.44498477161264316</v>
      </c>
      <c r="I39" s="11">
        <v>17311.245154519998</v>
      </c>
      <c r="J39" s="7">
        <v>0.47669682371930039</v>
      </c>
      <c r="K39" s="6">
        <v>36315.000002419998</v>
      </c>
    </row>
    <row r="40" spans="2:15">
      <c r="B40" s="5" t="s">
        <v>29</v>
      </c>
      <c r="C40" s="11">
        <v>1198.4157821000003</v>
      </c>
      <c r="D40" s="7">
        <v>5.5395016271261747E-2</v>
      </c>
      <c r="E40" s="11">
        <v>421.57384628000045</v>
      </c>
      <c r="F40" s="7">
        <v>1.9486634290894506E-2</v>
      </c>
      <c r="G40" s="11">
        <v>9856.8438366700011</v>
      </c>
      <c r="H40" s="7">
        <v>0.45561818600120774</v>
      </c>
      <c r="I40" s="11">
        <v>10157.16653652999</v>
      </c>
      <c r="J40" s="7">
        <v>0.46950016343663603</v>
      </c>
      <c r="K40" s="6">
        <v>21634.000001579992</v>
      </c>
    </row>
    <row r="41" spans="2:15">
      <c r="B41" s="5" t="s">
        <v>30</v>
      </c>
      <c r="C41" s="11">
        <v>666.61560321999991</v>
      </c>
      <c r="D41" s="7">
        <v>5.289760379144931E-2</v>
      </c>
      <c r="E41" s="11">
        <v>306.72192838999985</v>
      </c>
      <c r="F41" s="7">
        <v>2.4339146824273915E-2</v>
      </c>
      <c r="G41" s="11">
        <v>5823.4224677800057</v>
      </c>
      <c r="H41" s="7">
        <v>0.46210303647691264</v>
      </c>
      <c r="I41" s="11">
        <v>5805.2400051500081</v>
      </c>
      <c r="J41" s="7">
        <v>0.46066021290736436</v>
      </c>
      <c r="K41" s="6">
        <v>12602.00000454001</v>
      </c>
    </row>
    <row r="42" spans="2:15">
      <c r="B42" s="8" t="s">
        <v>31</v>
      </c>
      <c r="C42" s="12">
        <v>3668.0165953299993</v>
      </c>
      <c r="D42" s="10">
        <v>5.7888021512802729E-2</v>
      </c>
      <c r="E42" s="12">
        <v>1224.8168715100007</v>
      </c>
      <c r="F42" s="10">
        <v>1.9329854040869142E-2</v>
      </c>
      <c r="G42" s="12">
        <v>28572.572603020002</v>
      </c>
      <c r="H42" s="10">
        <v>0.45092753932072488</v>
      </c>
      <c r="I42" s="12">
        <v>29898.593933469994</v>
      </c>
      <c r="J42" s="10">
        <v>0.47185458512560313</v>
      </c>
      <c r="K42" s="9">
        <v>63364.000003330002</v>
      </c>
    </row>
    <row r="44" spans="2:15" ht="18.75">
      <c r="B44" s="1" t="s">
        <v>5</v>
      </c>
    </row>
    <row r="45" spans="2:15" ht="60">
      <c r="B45" s="3"/>
      <c r="C45" s="4" t="s">
        <v>74</v>
      </c>
      <c r="D45" s="4" t="s">
        <v>75</v>
      </c>
      <c r="E45" s="4" t="s">
        <v>76</v>
      </c>
      <c r="F45" s="4" t="s">
        <v>77</v>
      </c>
      <c r="G45" s="4" t="s">
        <v>27</v>
      </c>
    </row>
    <row r="46" spans="2:15">
      <c r="B46" s="5" t="s">
        <v>28</v>
      </c>
      <c r="C46" s="11">
        <v>8346.1619593400028</v>
      </c>
      <c r="D46" s="7">
        <v>0.22982684729010094</v>
      </c>
      <c r="E46" s="11">
        <v>27968.838040659939</v>
      </c>
      <c r="F46" s="7">
        <v>0.77017315270989906</v>
      </c>
      <c r="G46" s="6">
        <v>36314.999999999942</v>
      </c>
    </row>
    <row r="47" spans="2:15">
      <c r="B47" s="5" t="s">
        <v>29</v>
      </c>
      <c r="C47" s="11">
        <v>5488.2054465100055</v>
      </c>
      <c r="D47" s="7">
        <v>0.25368426765785373</v>
      </c>
      <c r="E47" s="11">
        <v>16145.794553489985</v>
      </c>
      <c r="F47" s="7">
        <v>0.74631573234214632</v>
      </c>
      <c r="G47" s="6">
        <v>21633.999999999989</v>
      </c>
    </row>
    <row r="48" spans="2:15">
      <c r="B48" s="5" t="s">
        <v>30</v>
      </c>
      <c r="C48" s="11">
        <v>3674.0329622800027</v>
      </c>
      <c r="D48" s="7">
        <v>0.29154364087287754</v>
      </c>
      <c r="E48" s="11">
        <v>8927.9670377200018</v>
      </c>
      <c r="F48" s="7">
        <v>0.70845635912712279</v>
      </c>
      <c r="G48" s="6">
        <v>12602</v>
      </c>
    </row>
    <row r="49" spans="2:16">
      <c r="B49" s="8" t="s">
        <v>31</v>
      </c>
      <c r="C49" s="12">
        <v>15470.518083240009</v>
      </c>
      <c r="D49" s="10">
        <v>0.24415311664730804</v>
      </c>
      <c r="E49" s="12">
        <v>47893.481916759927</v>
      </c>
      <c r="F49" s="10">
        <v>0.75584688335269212</v>
      </c>
      <c r="G49" s="9">
        <v>63363.999999999927</v>
      </c>
    </row>
    <row r="51" spans="2:16" ht="18.75">
      <c r="B51" s="1" t="s">
        <v>6</v>
      </c>
    </row>
    <row r="52" spans="2:16" ht="30">
      <c r="B52" s="3"/>
      <c r="C52" s="4" t="s">
        <v>78</v>
      </c>
      <c r="D52" s="4" t="s">
        <v>79</v>
      </c>
      <c r="E52" s="4" t="s">
        <v>80</v>
      </c>
      <c r="F52" s="4" t="s">
        <v>81</v>
      </c>
      <c r="G52" s="4" t="s">
        <v>82</v>
      </c>
      <c r="H52" s="4" t="s">
        <v>83</v>
      </c>
      <c r="I52" s="4" t="s">
        <v>84</v>
      </c>
      <c r="J52" s="4" t="s">
        <v>85</v>
      </c>
      <c r="K52" s="4" t="s">
        <v>86</v>
      </c>
      <c r="L52" s="4" t="s">
        <v>87</v>
      </c>
      <c r="M52" s="4" t="s">
        <v>27</v>
      </c>
      <c r="O52" s="4" t="s">
        <v>88</v>
      </c>
      <c r="P52" s="4" t="s">
        <v>89</v>
      </c>
    </row>
    <row r="53" spans="2:16">
      <c r="B53" s="5" t="s">
        <v>28</v>
      </c>
      <c r="C53" s="11">
        <v>22550.728146589987</v>
      </c>
      <c r="D53" s="7">
        <v>0.62097557883820731</v>
      </c>
      <c r="E53" s="11">
        <v>5949.8122068100001</v>
      </c>
      <c r="F53" s="7">
        <v>0.16383897030221459</v>
      </c>
      <c r="G53" s="11">
        <v>5174.9480074700059</v>
      </c>
      <c r="H53" s="7">
        <v>0.1425016661771184</v>
      </c>
      <c r="I53" s="11">
        <v>311.93611918000056</v>
      </c>
      <c r="J53" s="7">
        <v>8.5897320436473783E-3</v>
      </c>
      <c r="K53" s="11">
        <v>2327.5755216899988</v>
      </c>
      <c r="L53" s="7">
        <v>6.4094052638812501E-2</v>
      </c>
      <c r="M53" s="6">
        <v>36315.000001739987</v>
      </c>
      <c r="O53" s="11">
        <v>13764.271853409995</v>
      </c>
      <c r="P53" s="7">
        <v>0.37902442111387846</v>
      </c>
    </row>
    <row r="54" spans="2:16">
      <c r="B54" s="5" t="s">
        <v>29</v>
      </c>
      <c r="C54" s="11">
        <v>12006.739828669994</v>
      </c>
      <c r="D54" s="7">
        <v>0.55499398303840908</v>
      </c>
      <c r="E54" s="11">
        <v>3598.6739502200003</v>
      </c>
      <c r="F54" s="7">
        <v>0.1663434385843939</v>
      </c>
      <c r="G54" s="11">
        <v>4339.7045754900028</v>
      </c>
      <c r="H54" s="7">
        <v>0.20059649512935265</v>
      </c>
      <c r="I54" s="11">
        <v>176.24455246000014</v>
      </c>
      <c r="J54" s="7">
        <v>8.1466465963585723E-3</v>
      </c>
      <c r="K54" s="11">
        <v>1512.63709247</v>
      </c>
      <c r="L54" s="7">
        <v>6.9919436651485839E-2</v>
      </c>
      <c r="M54" s="6">
        <v>21633.999999309995</v>
      </c>
      <c r="O54" s="11">
        <v>9627.2601713299973</v>
      </c>
      <c r="P54" s="7">
        <v>0.44500601699348497</v>
      </c>
    </row>
    <row r="55" spans="2:16">
      <c r="B55" s="5" t="s">
        <v>30</v>
      </c>
      <c r="C55" s="11">
        <v>6604.1912597600094</v>
      </c>
      <c r="D55" s="7">
        <v>0.52405897956498693</v>
      </c>
      <c r="E55" s="11">
        <v>2109.1595011700019</v>
      </c>
      <c r="F55" s="7">
        <v>0.16736704502454317</v>
      </c>
      <c r="G55" s="11">
        <v>2761.2711076400001</v>
      </c>
      <c r="H55" s="7">
        <v>0.21911372067451068</v>
      </c>
      <c r="I55" s="11">
        <v>75.916270030000035</v>
      </c>
      <c r="J55" s="7">
        <v>6.0241445832608358E-3</v>
      </c>
      <c r="K55" s="11">
        <v>1051.4618600299989</v>
      </c>
      <c r="L55" s="7">
        <v>8.3436110152698417E-2</v>
      </c>
      <c r="M55" s="6">
        <v>12601.99999863001</v>
      </c>
      <c r="O55" s="11">
        <v>5997.8087402400051</v>
      </c>
      <c r="P55" s="7">
        <v>0.47594102054372633</v>
      </c>
    </row>
    <row r="56" spans="2:16">
      <c r="B56" s="8" t="s">
        <v>31</v>
      </c>
      <c r="C56" s="12">
        <v>37970.646401179991</v>
      </c>
      <c r="D56" s="10">
        <v>0.59924636072117532</v>
      </c>
      <c r="E56" s="12">
        <v>10292.81924407</v>
      </c>
      <c r="F56" s="10">
        <v>0.16243954365175489</v>
      </c>
      <c r="G56" s="12">
        <v>10413.899794000012</v>
      </c>
      <c r="H56" s="10">
        <v>0.16435041654375346</v>
      </c>
      <c r="I56" s="12">
        <v>510.08616082000071</v>
      </c>
      <c r="J56" s="10">
        <v>8.0500940725655532E-3</v>
      </c>
      <c r="K56" s="12">
        <v>4176.548400669999</v>
      </c>
      <c r="L56" s="10">
        <v>6.5913585010750952E-2</v>
      </c>
      <c r="M56" s="9">
        <v>63364.000000739994</v>
      </c>
      <c r="O56" s="12">
        <v>25393.353598820002</v>
      </c>
      <c r="P56" s="10">
        <v>0.40075363926714613</v>
      </c>
    </row>
    <row r="58" spans="2:16" ht="18.75">
      <c r="B58" s="1" t="s">
        <v>7</v>
      </c>
    </row>
    <row r="59" spans="2:16" ht="30">
      <c r="B59" s="3"/>
      <c r="C59" s="4" t="s">
        <v>90</v>
      </c>
      <c r="D59" s="4" t="s">
        <v>91</v>
      </c>
      <c r="E59" s="4" t="s">
        <v>92</v>
      </c>
      <c r="F59" s="4" t="s">
        <v>93</v>
      </c>
      <c r="G59" s="4" t="s">
        <v>94</v>
      </c>
      <c r="H59" s="4" t="s">
        <v>95</v>
      </c>
      <c r="I59" s="4" t="s">
        <v>27</v>
      </c>
    </row>
    <row r="60" spans="2:16">
      <c r="B60" s="5" t="s">
        <v>28</v>
      </c>
      <c r="C60" s="11">
        <v>3441.7780645000043</v>
      </c>
      <c r="D60" s="7">
        <v>9.4775659232751691E-2</v>
      </c>
      <c r="E60" s="11">
        <v>27401.614108460039</v>
      </c>
      <c r="F60" s="7">
        <v>0.7545536035450453</v>
      </c>
      <c r="G60" s="11">
        <v>5471.6078213700057</v>
      </c>
      <c r="H60" s="7">
        <v>0.15067073722220298</v>
      </c>
      <c r="I60" s="11">
        <v>36314.99999433005</v>
      </c>
    </row>
    <row r="61" spans="2:16">
      <c r="B61" s="5" t="s">
        <v>29</v>
      </c>
      <c r="C61" s="11">
        <v>1960.745154270003</v>
      </c>
      <c r="D61" s="7">
        <v>9.0632576229521214E-2</v>
      </c>
      <c r="E61" s="11">
        <v>16239.509219489997</v>
      </c>
      <c r="F61" s="7">
        <v>0.75064755562964025</v>
      </c>
      <c r="G61" s="11">
        <v>3433.7456275699979</v>
      </c>
      <c r="H61" s="7">
        <v>0.15871986814083852</v>
      </c>
      <c r="I61" s="11">
        <v>21634.000001329998</v>
      </c>
    </row>
    <row r="62" spans="2:16">
      <c r="B62" s="5" t="s">
        <v>30</v>
      </c>
      <c r="C62" s="11">
        <v>1296.2930310300007</v>
      </c>
      <c r="D62" s="7">
        <v>0.10286407167571258</v>
      </c>
      <c r="E62" s="11">
        <v>9497.7607857600051</v>
      </c>
      <c r="F62" s="7">
        <v>0.75367090838165485</v>
      </c>
      <c r="G62" s="11">
        <v>1807.9461809999984</v>
      </c>
      <c r="H62" s="7">
        <v>0.14346501994263255</v>
      </c>
      <c r="I62" s="11">
        <v>12601.999997790004</v>
      </c>
    </row>
    <row r="63" spans="2:16">
      <c r="B63" s="8" t="s">
        <v>31</v>
      </c>
      <c r="C63" s="12">
        <v>5966.6746712200074</v>
      </c>
      <c r="D63" s="10">
        <v>9.4165057001579511E-2</v>
      </c>
      <c r="E63" s="12">
        <v>47657.316740000024</v>
      </c>
      <c r="F63" s="10">
        <v>0.75211976429860217</v>
      </c>
      <c r="G63" s="12">
        <v>9740.0085821100038</v>
      </c>
      <c r="H63" s="10">
        <v>0.15371517869981816</v>
      </c>
      <c r="I63" s="12">
        <v>63363.999993330042</v>
      </c>
    </row>
    <row r="65" spans="2:15" ht="18.75">
      <c r="B65" s="1" t="s">
        <v>8</v>
      </c>
    </row>
    <row r="66" spans="2:15">
      <c r="B66" s="3"/>
      <c r="C66" s="4" t="s">
        <v>96</v>
      </c>
      <c r="D66" s="4" t="s">
        <v>97</v>
      </c>
      <c r="E66" s="4" t="s">
        <v>98</v>
      </c>
      <c r="F66" s="4" t="s">
        <v>99</v>
      </c>
      <c r="G66" s="4" t="s">
        <v>100</v>
      </c>
      <c r="H66" s="4" t="s">
        <v>101</v>
      </c>
      <c r="I66" s="4" t="s">
        <v>102</v>
      </c>
      <c r="J66" s="4" t="s">
        <v>103</v>
      </c>
      <c r="K66" s="4" t="s">
        <v>104</v>
      </c>
      <c r="L66" s="4" t="s">
        <v>105</v>
      </c>
      <c r="M66" s="4" t="s">
        <v>106</v>
      </c>
    </row>
    <row r="67" spans="2:15">
      <c r="B67" s="5" t="s">
        <v>28</v>
      </c>
      <c r="C67" s="6">
        <v>4668</v>
      </c>
      <c r="D67" s="7">
        <v>0.14215238443266948</v>
      </c>
      <c r="E67" s="6">
        <v>7507</v>
      </c>
      <c r="F67" s="7">
        <v>0.22860710152871674</v>
      </c>
      <c r="G67" s="6">
        <v>10763</v>
      </c>
      <c r="H67" s="7">
        <v>0.32776052134721967</v>
      </c>
      <c r="I67" s="6">
        <v>6509</v>
      </c>
      <c r="J67" s="7">
        <v>0.19821548206346307</v>
      </c>
      <c r="K67" s="6">
        <v>3391</v>
      </c>
      <c r="L67" s="7">
        <v>0.10326451062793106</v>
      </c>
      <c r="M67" s="6">
        <v>32838</v>
      </c>
    </row>
    <row r="68" spans="2:15">
      <c r="B68" s="5" t="s">
        <v>29</v>
      </c>
      <c r="C68" s="6">
        <v>2264</v>
      </c>
      <c r="D68" s="7">
        <v>0.11271532410634273</v>
      </c>
      <c r="E68" s="6">
        <v>5188</v>
      </c>
      <c r="F68" s="7">
        <v>0.25828935577018819</v>
      </c>
      <c r="G68" s="6">
        <v>5471</v>
      </c>
      <c r="H68" s="7">
        <v>0.27237877128348104</v>
      </c>
      <c r="I68" s="6">
        <v>5013</v>
      </c>
      <c r="J68" s="7">
        <v>0.2495768196753958</v>
      </c>
      <c r="K68" s="6">
        <v>2150</v>
      </c>
      <c r="L68" s="7">
        <v>0.10703972916459226</v>
      </c>
      <c r="M68" s="6">
        <v>20086</v>
      </c>
    </row>
    <row r="69" spans="2:15">
      <c r="B69" s="5" t="s">
        <v>30</v>
      </c>
      <c r="C69" s="6">
        <v>1462</v>
      </c>
      <c r="D69" s="7">
        <v>0.12778603268945021</v>
      </c>
      <c r="E69" s="6">
        <v>2982</v>
      </c>
      <c r="F69" s="7">
        <v>0.26064155231186087</v>
      </c>
      <c r="G69" s="6">
        <v>3136</v>
      </c>
      <c r="H69" s="7">
        <v>0.27410191416834195</v>
      </c>
      <c r="I69" s="6">
        <v>2873</v>
      </c>
      <c r="J69" s="7">
        <v>0.25111441307578009</v>
      </c>
      <c r="K69" s="6">
        <v>988</v>
      </c>
      <c r="L69" s="7">
        <v>8.6356087754566907E-2</v>
      </c>
      <c r="M69" s="6">
        <v>11441</v>
      </c>
    </row>
    <row r="70" spans="2:15">
      <c r="B70" s="8" t="s">
        <v>31</v>
      </c>
      <c r="C70" s="9">
        <v>7640</v>
      </c>
      <c r="D70" s="10">
        <v>0.13213192438733332</v>
      </c>
      <c r="E70" s="9">
        <v>13966</v>
      </c>
      <c r="F70" s="10">
        <v>0.2415385413604054</v>
      </c>
      <c r="G70" s="9">
        <v>17747</v>
      </c>
      <c r="H70" s="10">
        <v>0.3069300081285346</v>
      </c>
      <c r="I70" s="9">
        <v>12539</v>
      </c>
      <c r="J70" s="10">
        <v>0.21685892668753567</v>
      </c>
      <c r="K70" s="9">
        <v>5929</v>
      </c>
      <c r="L70" s="10">
        <v>0.10254059943619101</v>
      </c>
      <c r="M70" s="9">
        <v>57821</v>
      </c>
    </row>
    <row r="72" spans="2:15" ht="18.75">
      <c r="B72" s="1" t="s">
        <v>9</v>
      </c>
    </row>
    <row r="73" spans="2:15" ht="90">
      <c r="B73" s="3"/>
      <c r="C73" s="4" t="s">
        <v>107</v>
      </c>
      <c r="D73" s="4" t="s">
        <v>108</v>
      </c>
      <c r="E73" s="4" t="s">
        <v>44</v>
      </c>
      <c r="F73" s="4" t="s">
        <v>109</v>
      </c>
      <c r="G73" s="4" t="s">
        <v>110</v>
      </c>
      <c r="I73" s="4" t="s">
        <v>111</v>
      </c>
      <c r="J73" s="4" t="s">
        <v>112</v>
      </c>
    </row>
    <row r="74" spans="2:15">
      <c r="B74" s="5" t="s">
        <v>28</v>
      </c>
      <c r="C74" s="11">
        <v>3335.4531433806028</v>
      </c>
      <c r="D74" s="7">
        <v>0.91419534870342667</v>
      </c>
      <c r="E74" s="11">
        <v>313.05934151791121</v>
      </c>
      <c r="F74" s="7">
        <v>8.5804651296573303E-2</v>
      </c>
      <c r="G74" s="11">
        <v>3648.5124848985142</v>
      </c>
      <c r="I74" s="6">
        <v>26272</v>
      </c>
      <c r="J74" s="11">
        <v>2291</v>
      </c>
    </row>
    <row r="75" spans="2:15">
      <c r="B75" s="5" t="s">
        <v>29</v>
      </c>
      <c r="C75" s="11">
        <v>2050.0587004228096</v>
      </c>
      <c r="D75" s="7">
        <v>0.89934148204326481</v>
      </c>
      <c r="E75" s="11">
        <v>229.45218766073054</v>
      </c>
      <c r="F75" s="7">
        <v>0.10065851795673525</v>
      </c>
      <c r="G75" s="11">
        <v>2279.5108880835401</v>
      </c>
      <c r="I75" s="6">
        <v>15980</v>
      </c>
      <c r="J75" s="11">
        <v>1588</v>
      </c>
    </row>
    <row r="76" spans="2:15">
      <c r="B76" s="5" t="s">
        <v>30</v>
      </c>
      <c r="C76" s="11">
        <v>1265.9759726506109</v>
      </c>
      <c r="D76" s="7">
        <v>0.90710341548760254</v>
      </c>
      <c r="E76" s="11">
        <v>129.6487720430257</v>
      </c>
      <c r="F76" s="7">
        <v>9.2896584512397587E-2</v>
      </c>
      <c r="G76" s="11">
        <v>1395.6247446936363</v>
      </c>
      <c r="I76" s="6">
        <v>9048</v>
      </c>
      <c r="J76" s="11">
        <v>836</v>
      </c>
    </row>
    <row r="77" spans="2:15">
      <c r="B77" s="8" t="s">
        <v>31</v>
      </c>
      <c r="C77" s="12">
        <v>5941.5193256221628</v>
      </c>
      <c r="D77" s="10">
        <v>0.90747325307886262</v>
      </c>
      <c r="E77" s="12">
        <v>605.80237831110367</v>
      </c>
      <c r="F77" s="10">
        <v>9.2526746921137451E-2</v>
      </c>
      <c r="G77" s="12">
        <v>6547.3217039332658</v>
      </c>
      <c r="I77" s="9">
        <v>45984</v>
      </c>
      <c r="J77" s="12">
        <v>4255</v>
      </c>
    </row>
    <row r="79" spans="2:15" ht="18.75">
      <c r="B79" s="1" t="s">
        <v>10</v>
      </c>
    </row>
    <row r="80" spans="2:15" ht="90">
      <c r="B80" s="3"/>
      <c r="C80" s="4" t="s">
        <v>113</v>
      </c>
      <c r="D80" s="4" t="s">
        <v>114</v>
      </c>
      <c r="E80" s="4" t="s">
        <v>115</v>
      </c>
      <c r="F80" s="4" t="s">
        <v>116</v>
      </c>
      <c r="G80" s="4" t="s">
        <v>117</v>
      </c>
      <c r="H80" s="4" t="s">
        <v>118</v>
      </c>
      <c r="I80" s="4" t="s">
        <v>119</v>
      </c>
      <c r="J80" s="4" t="s">
        <v>120</v>
      </c>
      <c r="K80" s="4" t="s">
        <v>121</v>
      </c>
      <c r="L80" s="4" t="s">
        <v>122</v>
      </c>
      <c r="M80" s="4" t="s">
        <v>123</v>
      </c>
      <c r="O80" s="4" t="s">
        <v>124</v>
      </c>
    </row>
    <row r="81" spans="2:15">
      <c r="B81" s="5" t="s">
        <v>28</v>
      </c>
      <c r="C81" s="11">
        <v>1101.5549172443884</v>
      </c>
      <c r="D81" s="7">
        <v>0.30191891128338261</v>
      </c>
      <c r="E81" s="11">
        <v>734.69795413187489</v>
      </c>
      <c r="F81" s="7">
        <v>0.20136917638978863</v>
      </c>
      <c r="G81" s="11">
        <v>2736.3602826500951</v>
      </c>
      <c r="H81" s="7">
        <v>0.74999339976938817</v>
      </c>
      <c r="I81" s="11">
        <v>64.795614847950432</v>
      </c>
      <c r="J81" s="7">
        <v>1.7759460908012423E-2</v>
      </c>
      <c r="K81" s="11">
        <v>475.44672845731668</v>
      </c>
      <c r="L81" s="7">
        <v>0.13031248499908629</v>
      </c>
      <c r="M81" s="11">
        <v>5112.8554973316259</v>
      </c>
      <c r="O81" s="11">
        <v>3648.5124848985142</v>
      </c>
    </row>
    <row r="82" spans="2:15">
      <c r="B82" s="5" t="s">
        <v>29</v>
      </c>
      <c r="C82" s="11">
        <v>722.13325345594296</v>
      </c>
      <c r="D82" s="7">
        <v>0.3167930704920055</v>
      </c>
      <c r="E82" s="11">
        <v>625.61595856917779</v>
      </c>
      <c r="F82" s="7">
        <v>0.27445184045387638</v>
      </c>
      <c r="G82" s="11">
        <v>1701.4375024632568</v>
      </c>
      <c r="H82" s="7">
        <v>0.74640463941530522</v>
      </c>
      <c r="I82" s="11">
        <v>46.610584961448041</v>
      </c>
      <c r="J82" s="7">
        <v>2.0447625499448743E-2</v>
      </c>
      <c r="K82" s="11">
        <v>236.49311428146726</v>
      </c>
      <c r="L82" s="7">
        <v>0.10374730628301355</v>
      </c>
      <c r="M82" s="11">
        <v>3332.290413731293</v>
      </c>
      <c r="O82" s="11">
        <v>2279.5108880835401</v>
      </c>
    </row>
    <row r="83" spans="2:15">
      <c r="B83" s="5" t="s">
        <v>30</v>
      </c>
      <c r="C83" s="11">
        <v>445.91033535654429</v>
      </c>
      <c r="D83" s="7">
        <v>0.31950589659001016</v>
      </c>
      <c r="E83" s="11">
        <v>371.73589542044471</v>
      </c>
      <c r="F83" s="7">
        <v>0.26635805708793675</v>
      </c>
      <c r="G83" s="11">
        <v>1045.123547200976</v>
      </c>
      <c r="H83" s="7">
        <v>0.74885713453754976</v>
      </c>
      <c r="I83" s="11">
        <v>36.193118511569374</v>
      </c>
      <c r="J83" s="7">
        <v>2.5933273717867755E-2</v>
      </c>
      <c r="K83" s="11">
        <v>180.43322648488399</v>
      </c>
      <c r="L83" s="7">
        <v>0.12928491499661121</v>
      </c>
      <c r="M83" s="11">
        <v>2079.3961229744182</v>
      </c>
      <c r="O83" s="11">
        <v>1395.6247446936363</v>
      </c>
    </row>
    <row r="84" spans="2:15">
      <c r="B84" s="8" t="s">
        <v>31</v>
      </c>
      <c r="C84" s="12">
        <v>2013.36788439315</v>
      </c>
      <c r="D84" s="10">
        <v>0.30751015078175109</v>
      </c>
      <c r="E84" s="12">
        <v>1530.0190463210495</v>
      </c>
      <c r="F84" s="10">
        <v>0.23368624843986197</v>
      </c>
      <c r="G84" s="12">
        <v>4894.1126266019301</v>
      </c>
      <c r="H84" s="10">
        <v>0.74749841964567287</v>
      </c>
      <c r="I84" s="12">
        <v>132.79465273741363</v>
      </c>
      <c r="J84" s="10">
        <v>2.0282286214474234E-2</v>
      </c>
      <c r="K84" s="12">
        <v>793.30823455612722</v>
      </c>
      <c r="L84" s="10">
        <v>0.12116530551409317</v>
      </c>
      <c r="M84" s="12">
        <v>9363.6024446096708</v>
      </c>
      <c r="O84" s="12">
        <v>6547.3217039332658</v>
      </c>
    </row>
    <row r="86" spans="2:15" ht="18.75">
      <c r="B86" s="1" t="s">
        <v>11</v>
      </c>
    </row>
    <row r="87" spans="2:15" ht="105">
      <c r="B87" s="3"/>
      <c r="C87" s="4" t="s">
        <v>42</v>
      </c>
      <c r="D87" s="4" t="s">
        <v>125</v>
      </c>
      <c r="E87" s="4" t="s">
        <v>44</v>
      </c>
      <c r="F87" s="4" t="s">
        <v>109</v>
      </c>
      <c r="G87" s="4" t="s">
        <v>46</v>
      </c>
      <c r="H87" s="4" t="s">
        <v>126</v>
      </c>
      <c r="I87" s="4" t="s">
        <v>110</v>
      </c>
      <c r="J87" s="4"/>
      <c r="K87" s="4" t="s">
        <v>111</v>
      </c>
      <c r="L87" s="4" t="s">
        <v>112</v>
      </c>
      <c r="M87" s="4" t="s">
        <v>127</v>
      </c>
    </row>
    <row r="88" spans="2:15">
      <c r="B88" s="5" t="s">
        <v>28</v>
      </c>
      <c r="C88" s="11">
        <v>2890.3259398122213</v>
      </c>
      <c r="D88" s="7">
        <v>0.110015451424034</v>
      </c>
      <c r="E88" s="11">
        <v>267.2591658806254</v>
      </c>
      <c r="F88" s="7">
        <v>1.0172775802398957E-2</v>
      </c>
      <c r="G88" s="11">
        <v>1039.0171156909191</v>
      </c>
      <c r="H88" s="7">
        <v>3.9548459032084315E-2</v>
      </c>
      <c r="I88" s="11">
        <v>4196.6022213837659</v>
      </c>
      <c r="J88" s="7"/>
      <c r="K88" s="6">
        <v>26272</v>
      </c>
      <c r="L88" s="6">
        <v>2291</v>
      </c>
      <c r="M88" s="6">
        <v>4428</v>
      </c>
    </row>
    <row r="89" spans="2:15">
      <c r="B89" s="5" t="s">
        <v>29</v>
      </c>
      <c r="C89" s="11">
        <v>1601.7252723492209</v>
      </c>
      <c r="D89" s="7">
        <v>0.10023312092298003</v>
      </c>
      <c r="E89" s="11">
        <v>169.30945046235894</v>
      </c>
      <c r="F89" s="7">
        <v>1.0595084509534352E-2</v>
      </c>
      <c r="G89" s="11">
        <v>434.85037931035509</v>
      </c>
      <c r="H89" s="7">
        <v>2.7212163911786928E-2</v>
      </c>
      <c r="I89" s="11">
        <v>2205.8851021219348</v>
      </c>
      <c r="J89" s="7"/>
      <c r="K89" s="6">
        <v>15980</v>
      </c>
      <c r="L89" s="6">
        <v>1588</v>
      </c>
      <c r="M89" s="6">
        <v>2549</v>
      </c>
    </row>
    <row r="90" spans="2:15">
      <c r="B90" s="5" t="s">
        <v>30</v>
      </c>
      <c r="C90" s="11">
        <v>1265.9759726506109</v>
      </c>
      <c r="D90" s="7">
        <v>0.13991776886058918</v>
      </c>
      <c r="E90" s="11">
        <v>129.6487720430257</v>
      </c>
      <c r="F90" s="7">
        <v>1.4328997794322028E-2</v>
      </c>
      <c r="G90" s="11">
        <v>460.23433130909598</v>
      </c>
      <c r="H90" s="7">
        <v>5.0865863318865605E-2</v>
      </c>
      <c r="I90" s="11">
        <v>1855.8590760027325</v>
      </c>
      <c r="J90" s="7"/>
      <c r="K90" s="6">
        <v>9048</v>
      </c>
      <c r="L90" s="6">
        <v>836</v>
      </c>
      <c r="M90" s="6">
        <v>1598</v>
      </c>
    </row>
    <row r="91" spans="2:15">
      <c r="B91" s="8" t="s">
        <v>31</v>
      </c>
      <c r="C91" s="12">
        <v>5048.0586939801924</v>
      </c>
      <c r="D91" s="10">
        <v>0.10977859024835143</v>
      </c>
      <c r="E91" s="12">
        <v>499.85946547544631</v>
      </c>
      <c r="F91" s="10">
        <v>1.08702910898453E-2</v>
      </c>
      <c r="G91" s="12">
        <v>1713.0052663058295</v>
      </c>
      <c r="H91" s="10">
        <v>3.7252202207416263E-2</v>
      </c>
      <c r="I91" s="12">
        <v>7260.9234257614689</v>
      </c>
      <c r="J91" s="10"/>
      <c r="K91" s="9">
        <v>45984</v>
      </c>
      <c r="L91" s="9">
        <v>4255</v>
      </c>
      <c r="M91" s="9">
        <v>7782</v>
      </c>
    </row>
    <row r="93" spans="2:15" ht="18.75">
      <c r="B93" s="1" t="s">
        <v>12</v>
      </c>
    </row>
    <row r="94" spans="2:15" ht="105">
      <c r="B94" s="3"/>
      <c r="C94" s="4" t="s">
        <v>128</v>
      </c>
      <c r="D94" s="4" t="s">
        <v>129</v>
      </c>
      <c r="E94" s="4" t="s">
        <v>130</v>
      </c>
      <c r="F94" s="4" t="s">
        <v>131</v>
      </c>
      <c r="G94" s="4" t="s">
        <v>132</v>
      </c>
      <c r="H94" s="4" t="s">
        <v>133</v>
      </c>
      <c r="I94" s="4" t="s">
        <v>134</v>
      </c>
      <c r="J94" s="4" t="s">
        <v>135</v>
      </c>
      <c r="K94" s="4" t="s">
        <v>123</v>
      </c>
      <c r="L94" s="4"/>
      <c r="M94" s="4" t="s">
        <v>136</v>
      </c>
    </row>
    <row r="95" spans="2:15">
      <c r="B95" s="5" t="s">
        <v>28</v>
      </c>
      <c r="C95" s="11">
        <v>1333.7347428803141</v>
      </c>
      <c r="D95" s="7">
        <v>0.31781300026108628</v>
      </c>
      <c r="E95" s="11">
        <v>845.89945579145797</v>
      </c>
      <c r="F95" s="7">
        <v>0.20156769957399856</v>
      </c>
      <c r="G95" s="11">
        <v>74.48045547132881</v>
      </c>
      <c r="H95" s="7">
        <v>1.7747799658450834E-2</v>
      </c>
      <c r="I95" s="11">
        <v>715.42301728038956</v>
      </c>
      <c r="J95" s="7">
        <v>0.17047672844353823</v>
      </c>
      <c r="K95" s="11">
        <v>2969.5376714234903</v>
      </c>
      <c r="L95" s="7"/>
      <c r="M95" s="11">
        <v>4196.6022213837659</v>
      </c>
    </row>
    <row r="96" spans="2:15">
      <c r="B96" s="5" t="s">
        <v>29</v>
      </c>
      <c r="C96" s="11">
        <v>697.7482642622017</v>
      </c>
      <c r="D96" s="7">
        <v>0.31631215224719</v>
      </c>
      <c r="E96" s="11">
        <v>644.59633627131473</v>
      </c>
      <c r="F96" s="7">
        <v>0.29221664158810906</v>
      </c>
      <c r="G96" s="11">
        <v>46.521750571871806</v>
      </c>
      <c r="H96" s="7">
        <v>2.1089833975088075E-2</v>
      </c>
      <c r="I96" s="11">
        <v>272.76780236916483</v>
      </c>
      <c r="J96" s="7">
        <v>0.12365458296389865</v>
      </c>
      <c r="K96" s="11">
        <v>1661.6341534745532</v>
      </c>
      <c r="L96" s="7"/>
      <c r="M96" s="11">
        <v>2205.8851021219348</v>
      </c>
    </row>
    <row r="97" spans="2:13">
      <c r="B97" s="5" t="s">
        <v>30</v>
      </c>
      <c r="C97" s="11">
        <v>605.81994823995683</v>
      </c>
      <c r="D97" s="7">
        <v>0.32643639599231339</v>
      </c>
      <c r="E97" s="11">
        <v>477.91762202422342</v>
      </c>
      <c r="F97" s="7">
        <v>0.25751827183645476</v>
      </c>
      <c r="G97" s="11">
        <v>48.544477610680673</v>
      </c>
      <c r="H97" s="7">
        <v>2.6157415850366645E-2</v>
      </c>
      <c r="I97" s="11">
        <v>285.74926049948635</v>
      </c>
      <c r="J97" s="7">
        <v>0.15397142174984069</v>
      </c>
      <c r="K97" s="11">
        <v>1418.0313083743472</v>
      </c>
      <c r="L97" s="7"/>
      <c r="M97" s="11">
        <v>1855.8590760027325</v>
      </c>
    </row>
    <row r="98" spans="2:13">
      <c r="B98" s="8" t="s">
        <v>31</v>
      </c>
      <c r="C98" s="12">
        <v>2302.1385124829885</v>
      </c>
      <c r="D98" s="10">
        <v>0.31705864082178475</v>
      </c>
      <c r="E98" s="12">
        <v>1723.7763941142262</v>
      </c>
      <c r="F98" s="10">
        <v>0.23740456868038792</v>
      </c>
      <c r="G98" s="12">
        <v>150.9512377315445</v>
      </c>
      <c r="H98" s="10">
        <v>2.0789537208996789E-2</v>
      </c>
      <c r="I98" s="12">
        <v>1127.5995064680662</v>
      </c>
      <c r="J98" s="10">
        <v>0.15529698364086691</v>
      </c>
      <c r="K98" s="12">
        <v>5304.4656507968248</v>
      </c>
      <c r="L98" s="10"/>
      <c r="M98" s="12">
        <v>7260.9234257614689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3:M32"/>
  <sheetViews>
    <sheetView topLeftCell="A10" workbookViewId="0">
      <selection activeCell="F27" sqref="F27"/>
    </sheetView>
  </sheetViews>
  <sheetFormatPr defaultRowHeight="15"/>
  <cols>
    <col min="1" max="1" width="9.140625" customWidth="1"/>
    <col min="2" max="2" width="25.5703125" customWidth="1"/>
  </cols>
  <sheetData>
    <row r="3" spans="2:12" ht="105">
      <c r="B3" s="3"/>
      <c r="C3" s="4" t="s">
        <v>74</v>
      </c>
      <c r="D3" s="4" t="s">
        <v>75</v>
      </c>
      <c r="E3" s="4" t="s">
        <v>76</v>
      </c>
      <c r="F3" s="4" t="s">
        <v>77</v>
      </c>
      <c r="G3" s="4" t="s">
        <v>27</v>
      </c>
      <c r="I3" s="51" t="s">
        <v>278</v>
      </c>
      <c r="J3" s="51" t="str">
        <f>M28</f>
        <v>Total Savings Single to Double (GWh)</v>
      </c>
      <c r="K3" s="51" t="s">
        <v>279</v>
      </c>
      <c r="L3" s="51" t="s">
        <v>280</v>
      </c>
    </row>
    <row r="4" spans="2:12">
      <c r="B4" s="5" t="s">
        <v>28</v>
      </c>
      <c r="C4" s="11">
        <v>8346.1619593400028</v>
      </c>
      <c r="D4" s="7">
        <v>0.22982684729010094</v>
      </c>
      <c r="E4" s="11">
        <v>27968.838040659939</v>
      </c>
      <c r="F4" s="7">
        <v>0.77017315270989906</v>
      </c>
      <c r="G4" s="6">
        <v>36314.999999999942</v>
      </c>
      <c r="I4" s="17">
        <f>L29</f>
        <v>8346.1619593400046</v>
      </c>
      <c r="J4" s="52">
        <f>M29</f>
        <v>13.798211453309744</v>
      </c>
      <c r="K4">
        <f>G4</f>
        <v>36314.999999999942</v>
      </c>
      <c r="L4" s="52">
        <f>K4*$C$23/1000000</f>
        <v>41.815917487684658</v>
      </c>
    </row>
    <row r="5" spans="2:12">
      <c r="B5" s="5" t="s">
        <v>29</v>
      </c>
      <c r="C5" s="11">
        <v>5488.2054465100055</v>
      </c>
      <c r="D5" s="7">
        <v>0.25368426765785373</v>
      </c>
      <c r="E5" s="11">
        <v>16145.794553489985</v>
      </c>
      <c r="F5" s="7">
        <v>0.74631573234214632</v>
      </c>
      <c r="G5" s="6">
        <v>21633.999999999989</v>
      </c>
      <c r="I5" s="17">
        <f t="shared" ref="I5:J7" si="0">L30</f>
        <v>5488.2054465100064</v>
      </c>
      <c r="J5" s="52">
        <f t="shared" si="0"/>
        <v>9.0733225186705617</v>
      </c>
      <c r="K5">
        <f t="shared" ref="K5:K7" si="1">G5</f>
        <v>21633.999999999989</v>
      </c>
      <c r="L5" s="52">
        <f t="shared" ref="L5:L7" si="2">K5*$C$23/1000000</f>
        <v>24.911071428571415</v>
      </c>
    </row>
    <row r="6" spans="2:12">
      <c r="B6" s="5" t="s">
        <v>30</v>
      </c>
      <c r="C6" s="11">
        <v>3674.0329622800027</v>
      </c>
      <c r="D6" s="7">
        <v>0.29154364087287754</v>
      </c>
      <c r="E6" s="11">
        <v>8927.9670377200018</v>
      </c>
      <c r="F6" s="7">
        <v>0.70845635912712279</v>
      </c>
      <c r="G6" s="6">
        <v>12602</v>
      </c>
      <c r="I6" s="17">
        <f t="shared" si="0"/>
        <v>3674.0329622800032</v>
      </c>
      <c r="J6" s="52">
        <f t="shared" si="0"/>
        <v>6.0740594235938268</v>
      </c>
      <c r="K6">
        <f t="shared" si="1"/>
        <v>12602</v>
      </c>
      <c r="L6" s="52">
        <f t="shared" si="2"/>
        <v>14.510923645320196</v>
      </c>
    </row>
    <row r="7" spans="2:12">
      <c r="B7" s="8" t="s">
        <v>31</v>
      </c>
      <c r="C7" s="12">
        <v>15470.518083240009</v>
      </c>
      <c r="D7" s="10">
        <v>0.24415311664730804</v>
      </c>
      <c r="E7" s="12">
        <v>47893.481916759927</v>
      </c>
      <c r="F7" s="10">
        <v>0.75584688335269212</v>
      </c>
      <c r="G7" s="9">
        <v>63363.999999999927</v>
      </c>
      <c r="I7" s="17">
        <f t="shared" si="0"/>
        <v>15470.518083240011</v>
      </c>
      <c r="J7" s="52">
        <f t="shared" si="0"/>
        <v>25.576484238472432</v>
      </c>
      <c r="K7">
        <f t="shared" si="1"/>
        <v>63363.999999999927</v>
      </c>
      <c r="L7" s="52">
        <f t="shared" si="2"/>
        <v>72.962241379310257</v>
      </c>
    </row>
    <row r="9" spans="2:12">
      <c r="B9" s="14" t="s">
        <v>262</v>
      </c>
    </row>
    <row r="10" spans="2:12">
      <c r="B10" t="s">
        <v>152</v>
      </c>
      <c r="C10" t="s">
        <v>153</v>
      </c>
      <c r="D10" t="s">
        <v>154</v>
      </c>
      <c r="E10" t="s">
        <v>155</v>
      </c>
      <c r="F10" t="s">
        <v>156</v>
      </c>
      <c r="G10" t="s">
        <v>157</v>
      </c>
      <c r="H10" t="s">
        <v>151</v>
      </c>
      <c r="I10" t="s">
        <v>158</v>
      </c>
      <c r="J10" t="s">
        <v>159</v>
      </c>
    </row>
    <row r="11" spans="2:12">
      <c r="B11">
        <v>2003</v>
      </c>
      <c r="C11">
        <v>430</v>
      </c>
      <c r="D11">
        <v>581</v>
      </c>
      <c r="E11">
        <v>946</v>
      </c>
      <c r="F11">
        <v>2611</v>
      </c>
      <c r="G11">
        <v>10436</v>
      </c>
      <c r="H11">
        <v>4856</v>
      </c>
      <c r="I11">
        <v>19862</v>
      </c>
      <c r="J11">
        <v>24595</v>
      </c>
    </row>
    <row r="12" spans="2:12">
      <c r="C12" s="20">
        <f>C11/$J$11</f>
        <v>1.7483228298434642E-2</v>
      </c>
      <c r="D12" s="20">
        <f t="shared" ref="D12:J12" si="3">D11/$J$11</f>
        <v>2.3622687538117505E-2</v>
      </c>
      <c r="E12" s="20">
        <f t="shared" si="3"/>
        <v>3.8463102256556213E-2</v>
      </c>
      <c r="F12" s="20">
        <f t="shared" si="3"/>
        <v>0.10615978857491359</v>
      </c>
      <c r="G12" s="20">
        <f>G11/$J$11</f>
        <v>0.42431388493596262</v>
      </c>
      <c r="H12" s="20">
        <f t="shared" si="3"/>
        <v>0.19743850376092703</v>
      </c>
      <c r="I12" s="20">
        <f t="shared" si="3"/>
        <v>0.80756251270583457</v>
      </c>
      <c r="J12" s="20">
        <f t="shared" si="3"/>
        <v>1</v>
      </c>
    </row>
    <row r="13" spans="2:12">
      <c r="B13">
        <v>2006</v>
      </c>
      <c r="C13">
        <v>455</v>
      </c>
      <c r="D13">
        <v>595</v>
      </c>
      <c r="E13">
        <v>959</v>
      </c>
      <c r="F13">
        <v>2638</v>
      </c>
      <c r="G13">
        <v>10792</v>
      </c>
      <c r="H13">
        <v>5833</v>
      </c>
      <c r="I13">
        <v>21272</v>
      </c>
      <c r="J13">
        <v>25285</v>
      </c>
    </row>
    <row r="14" spans="2:12">
      <c r="C14" s="20">
        <f>C13/$J$13</f>
        <v>1.7994858611825194E-2</v>
      </c>
      <c r="D14" s="20">
        <f t="shared" ref="D14:J14" si="4">D13/$J$13</f>
        <v>2.3531738184694482E-2</v>
      </c>
      <c r="E14" s="20">
        <f t="shared" si="4"/>
        <v>3.792762507415464E-2</v>
      </c>
      <c r="F14" s="20">
        <f t="shared" si="4"/>
        <v>0.10433063080877991</v>
      </c>
      <c r="G14" s="20">
        <f t="shared" si="4"/>
        <v>0.42681431678860987</v>
      </c>
      <c r="H14" s="20">
        <f t="shared" si="4"/>
        <v>0.23069013248961834</v>
      </c>
      <c r="I14" s="20">
        <f t="shared" si="4"/>
        <v>0.84128930195768237</v>
      </c>
      <c r="J14" s="20">
        <f t="shared" si="4"/>
        <v>1</v>
      </c>
    </row>
    <row r="16" spans="2:12">
      <c r="B16" s="18" t="s">
        <v>261</v>
      </c>
    </row>
    <row r="17" spans="2:13">
      <c r="B17" t="s">
        <v>263</v>
      </c>
      <c r="C17">
        <v>5.4</v>
      </c>
      <c r="D17" t="s">
        <v>266</v>
      </c>
    </row>
    <row r="18" spans="2:13">
      <c r="B18" t="s">
        <v>264</v>
      </c>
      <c r="C18">
        <v>1.9</v>
      </c>
      <c r="D18" t="s">
        <v>266</v>
      </c>
      <c r="E18" t="s">
        <v>625</v>
      </c>
    </row>
    <row r="19" spans="2:13">
      <c r="B19" t="s">
        <v>265</v>
      </c>
      <c r="C19">
        <v>0.8</v>
      </c>
      <c r="D19" t="s">
        <v>266</v>
      </c>
    </row>
    <row r="20" spans="2:13">
      <c r="B20" t="s">
        <v>142</v>
      </c>
      <c r="C20" s="16">
        <v>170</v>
      </c>
      <c r="D20" t="s">
        <v>267</v>
      </c>
    </row>
    <row r="21" spans="2:13">
      <c r="B21" t="s">
        <v>238</v>
      </c>
      <c r="C21">
        <f>'loft insulation'!B14</f>
        <v>4.6399999999999997</v>
      </c>
      <c r="D21" t="s">
        <v>239</v>
      </c>
      <c r="E21" t="s">
        <v>240</v>
      </c>
    </row>
    <row r="22" spans="2:13">
      <c r="B22" t="s">
        <v>241</v>
      </c>
      <c r="C22" s="17">
        <f>C20/(C21/100)</f>
        <v>3663.7931034482763</v>
      </c>
      <c r="D22" t="s">
        <v>143</v>
      </c>
      <c r="E22" t="s">
        <v>268</v>
      </c>
    </row>
    <row r="23" spans="2:13">
      <c r="B23" t="s">
        <v>241</v>
      </c>
      <c r="C23" s="17">
        <f>(C18-C19)/(C17-C18)*C22</f>
        <v>1151.4778325123152</v>
      </c>
      <c r="D23" t="s">
        <v>143</v>
      </c>
      <c r="E23" t="s">
        <v>269</v>
      </c>
    </row>
    <row r="24" spans="2:13">
      <c r="B24" t="s">
        <v>270</v>
      </c>
    </row>
    <row r="25" spans="2:13">
      <c r="B25" t="s">
        <v>282</v>
      </c>
    </row>
    <row r="27" spans="2:13">
      <c r="B27" t="s">
        <v>271</v>
      </c>
    </row>
    <row r="28" spans="2:13" s="2" customFormat="1" ht="90">
      <c r="C28" s="55" t="str">
        <f>C3</f>
        <v>Single glazed (Less than 80% Double Glazing)</v>
      </c>
      <c r="D28" s="2" t="s">
        <v>272</v>
      </c>
      <c r="E28" s="2" t="s">
        <v>273</v>
      </c>
      <c r="F28" s="2" t="s">
        <v>274</v>
      </c>
      <c r="G28" s="2" t="s">
        <v>275</v>
      </c>
      <c r="H28" s="2" t="s">
        <v>276</v>
      </c>
      <c r="I28" s="2" t="s">
        <v>276</v>
      </c>
      <c r="J28" s="2" t="s">
        <v>276</v>
      </c>
      <c r="K28" s="2" t="s">
        <v>276</v>
      </c>
      <c r="L28" s="2" t="s">
        <v>277</v>
      </c>
      <c r="M28" s="2" t="s">
        <v>281</v>
      </c>
    </row>
    <row r="29" spans="2:13">
      <c r="B29" t="str">
        <f>B4</f>
        <v>South Hams</v>
      </c>
      <c r="C29" s="17">
        <f>C4</f>
        <v>8346.1619593400028</v>
      </c>
      <c r="D29" s="17">
        <f>C$14/(SUM($C$14:$F$14))*$C29</f>
        <v>817.19468291364353</v>
      </c>
      <c r="E29" s="17">
        <f t="shared" ref="E29:G29" si="5">D$14/(SUM($C$14:$F$14))*$C29</f>
        <v>1068.6392007332261</v>
      </c>
      <c r="F29" s="17">
        <f t="shared" si="5"/>
        <v>1722.3949470641412</v>
      </c>
      <c r="G29" s="17">
        <f t="shared" si="5"/>
        <v>4737.9331286289935</v>
      </c>
      <c r="H29" s="52">
        <f>(1-0.1)*$C$22*D29/1000000</f>
        <v>2.6946290190902475</v>
      </c>
      <c r="I29" s="52">
        <f>(1-0.3)*$C$22*E29/1000000</f>
        <v>2.7406910536046096</v>
      </c>
      <c r="J29" s="52">
        <f>(1-0.5)*$C$22*F29/1000000</f>
        <v>3.1552493642338799</v>
      </c>
      <c r="K29" s="52">
        <f>(1-0.7)*$C$22*G29/1000000</f>
        <v>5.2076420163810067</v>
      </c>
      <c r="L29" s="17">
        <f>SUM(D29:G29)</f>
        <v>8346.1619593400046</v>
      </c>
      <c r="M29" s="52">
        <f>SUM(H29:K29)</f>
        <v>13.798211453309744</v>
      </c>
    </row>
    <row r="30" spans="2:13">
      <c r="B30" t="str">
        <f t="shared" ref="B30:C32" si="6">B5</f>
        <v>West Devon</v>
      </c>
      <c r="C30" s="17">
        <f t="shared" si="6"/>
        <v>5488.2054465100055</v>
      </c>
      <c r="D30" s="17">
        <f t="shared" ref="D30:G30" si="7">C$14/(SUM($C$14:$F$14))*$C30</f>
        <v>537.36463915688671</v>
      </c>
      <c r="E30" s="17">
        <f t="shared" si="7"/>
        <v>702.70760505131329</v>
      </c>
      <c r="F30" s="17">
        <f t="shared" si="7"/>
        <v>1132.5993163768228</v>
      </c>
      <c r="G30" s="17">
        <f t="shared" si="7"/>
        <v>3115.5338859249832</v>
      </c>
      <c r="H30" s="52">
        <f t="shared" ref="H30:H32" si="8">(1-0.1)*$C$22*D30/1000000</f>
        <v>1.7719135730819757</v>
      </c>
      <c r="I30" s="52">
        <f t="shared" ref="I30:I32" si="9">(1-0.3)*$C$22*E30/1000000</f>
        <v>1.8022026939893596</v>
      </c>
      <c r="J30" s="52">
        <f t="shared" ref="J30:J32" si="10">(1-0.5)*$C$22*F30/1000000</f>
        <v>2.0748047821558178</v>
      </c>
      <c r="K30" s="52">
        <f t="shared" ref="K30:K32" si="11">(1-0.7)*$C$22*G30/1000000</f>
        <v>3.4244014694434091</v>
      </c>
      <c r="L30" s="17">
        <f t="shared" ref="L30:L32" si="12">SUM(D30:G30)</f>
        <v>5488.2054465100064</v>
      </c>
      <c r="M30" s="52">
        <f t="shared" ref="M30:M32" si="13">SUM(H30:K30)</f>
        <v>9.0733225186705617</v>
      </c>
    </row>
    <row r="31" spans="2:13">
      <c r="B31" t="str">
        <f t="shared" si="6"/>
        <v>Dartmoor</v>
      </c>
      <c r="C31" s="17">
        <f t="shared" si="6"/>
        <v>3674.0329622800027</v>
      </c>
      <c r="D31" s="17">
        <f t="shared" ref="D31:G31" si="14">C$14/(SUM($C$14:$F$14))*$C31</f>
        <v>359.73423667686711</v>
      </c>
      <c r="E31" s="17">
        <f t="shared" si="14"/>
        <v>470.42169411590305</v>
      </c>
      <c r="F31" s="17">
        <f t="shared" si="14"/>
        <v>758.20908345739679</v>
      </c>
      <c r="G31" s="17">
        <f t="shared" si="14"/>
        <v>2085.6679480298362</v>
      </c>
      <c r="H31" s="52">
        <f t="shared" si="8"/>
        <v>1.1861926338698421</v>
      </c>
      <c r="I31" s="52">
        <f t="shared" si="9"/>
        <v>1.2064694310300099</v>
      </c>
      <c r="J31" s="52">
        <f t="shared" si="10"/>
        <v>1.3889606054715244</v>
      </c>
      <c r="K31" s="52">
        <f t="shared" si="11"/>
        <v>2.2924367532224497</v>
      </c>
      <c r="L31" s="17">
        <f t="shared" si="12"/>
        <v>3674.0329622800032</v>
      </c>
      <c r="M31" s="52">
        <f t="shared" si="13"/>
        <v>6.0740594235938268</v>
      </c>
    </row>
    <row r="32" spans="2:13">
      <c r="B32" t="str">
        <f t="shared" si="6"/>
        <v>SW Devon</v>
      </c>
      <c r="C32" s="17">
        <f t="shared" si="6"/>
        <v>15470.518083240009</v>
      </c>
      <c r="D32" s="17">
        <f t="shared" ref="D32:G32" si="15">C$14/(SUM($C$14:$F$14))*$C32</f>
        <v>1514.7591409240811</v>
      </c>
      <c r="E32" s="17">
        <f t="shared" si="15"/>
        <v>1980.8388765930288</v>
      </c>
      <c r="F32" s="17">
        <f t="shared" si="15"/>
        <v>3192.6461893322939</v>
      </c>
      <c r="G32" s="17">
        <f t="shared" si="15"/>
        <v>8782.2738763906073</v>
      </c>
      <c r="H32" s="52">
        <f t="shared" si="8"/>
        <v>4.9947876845125956</v>
      </c>
      <c r="I32" s="52">
        <f t="shared" si="9"/>
        <v>5.0801686705726388</v>
      </c>
      <c r="J32" s="52">
        <f t="shared" si="10"/>
        <v>5.848597545113039</v>
      </c>
      <c r="K32" s="52">
        <f t="shared" si="11"/>
        <v>9.6529303382741602</v>
      </c>
      <c r="L32" s="17">
        <f t="shared" si="12"/>
        <v>15470.518083240011</v>
      </c>
      <c r="M32" s="52">
        <f t="shared" si="13"/>
        <v>25.576484238472432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3:J52"/>
  <sheetViews>
    <sheetView topLeftCell="A4" workbookViewId="0">
      <selection activeCell="G21" sqref="G21"/>
    </sheetView>
  </sheetViews>
  <sheetFormatPr defaultRowHeight="15"/>
  <cols>
    <col min="2" max="2" width="37" customWidth="1"/>
    <col min="4" max="4" width="11.42578125" customWidth="1"/>
  </cols>
  <sheetData>
    <row r="3" spans="2:10" ht="135">
      <c r="B3" s="3"/>
      <c r="C3" s="4" t="s">
        <v>286</v>
      </c>
      <c r="D3" s="4" t="s">
        <v>345</v>
      </c>
      <c r="E3" s="4" t="s">
        <v>286</v>
      </c>
      <c r="F3" s="4" t="s">
        <v>346</v>
      </c>
    </row>
    <row r="4" spans="2:10">
      <c r="B4" s="5" t="s">
        <v>28</v>
      </c>
      <c r="C4" s="11">
        <f>'EST HOME ANALYTICS'!K18*draughtproofing!$C$19</f>
        <v>8086.5798329573854</v>
      </c>
      <c r="D4" s="56">
        <f>C4*$C$43/1000000</f>
        <v>26.846377490032257</v>
      </c>
      <c r="E4" s="11">
        <f>'EST HOME ANALYTICS'!K18*draughtproofing!$C$21</f>
        <v>36315</v>
      </c>
      <c r="F4" s="56">
        <f>E4*$E$43/1000000</f>
        <v>84.392704095247026</v>
      </c>
    </row>
    <row r="5" spans="2:10">
      <c r="B5" s="5" t="s">
        <v>29</v>
      </c>
      <c r="C5" s="11">
        <f>'EST HOME ANALYTICS'!K19*draughtproofing!$C$19</f>
        <v>4817.4326891422297</v>
      </c>
      <c r="D5" s="56">
        <f>C5*$C$43/1000000</f>
        <v>15.993240551269663</v>
      </c>
      <c r="E5" s="11">
        <f>'EST HOME ANALYTICS'!K19*draughtproofing!$C$21</f>
        <v>21634</v>
      </c>
      <c r="F5" s="56">
        <f t="shared" ref="F5:F7" si="0">E5*$E$43/1000000</f>
        <v>50.275416780850186</v>
      </c>
    </row>
    <row r="6" spans="2:10">
      <c r="B6" s="5" t="s">
        <v>30</v>
      </c>
      <c r="C6" s="11">
        <f>'EST HOME ANALYTICS'!K20*draughtproofing!$C$19</f>
        <v>2806.1979637871118</v>
      </c>
      <c r="D6" s="56">
        <f>C6*$C$43/1000000</f>
        <v>9.3162067776231989</v>
      </c>
      <c r="E6" s="11">
        <f>'EST HOME ANALYTICS'!K20*draughtproofing!$C$21</f>
        <v>12602</v>
      </c>
      <c r="F6" s="56">
        <f t="shared" si="0"/>
        <v>29.285883436825088</v>
      </c>
    </row>
    <row r="7" spans="2:10">
      <c r="B7" s="8" t="s">
        <v>31</v>
      </c>
      <c r="C7" s="12">
        <f>'EST HOME ANALYTICS'!K21*draughtproofing!$C$19</f>
        <v>14109.818106443943</v>
      </c>
      <c r="D7" s="60">
        <f>C7*$C$43/1000000</f>
        <v>46.842733396073356</v>
      </c>
      <c r="E7" s="12">
        <f>'EST HOME ANALYTICS'!K21*draughtproofing!$C$21</f>
        <v>63364</v>
      </c>
      <c r="F7" s="60">
        <f t="shared" si="0"/>
        <v>147.25208047063839</v>
      </c>
    </row>
    <row r="9" spans="2:10">
      <c r="B9" s="14" t="s">
        <v>355</v>
      </c>
    </row>
    <row r="10" spans="2:10">
      <c r="B10" t="s">
        <v>353</v>
      </c>
      <c r="C10" t="s">
        <v>153</v>
      </c>
      <c r="D10" t="s">
        <v>154</v>
      </c>
      <c r="E10" t="s">
        <v>155</v>
      </c>
      <c r="F10" t="s">
        <v>156</v>
      </c>
      <c r="G10" t="s">
        <v>157</v>
      </c>
      <c r="H10" t="s">
        <v>151</v>
      </c>
      <c r="I10" t="s">
        <v>354</v>
      </c>
      <c r="J10" t="s">
        <v>159</v>
      </c>
    </row>
    <row r="11" spans="2:10">
      <c r="B11" t="s">
        <v>356</v>
      </c>
      <c r="C11" s="15">
        <v>0.9</v>
      </c>
      <c r="D11" s="15">
        <v>0.7</v>
      </c>
      <c r="E11" s="15">
        <v>0.5</v>
      </c>
      <c r="F11" s="15">
        <v>0.3</v>
      </c>
      <c r="G11" s="15">
        <v>0.1</v>
      </c>
    </row>
    <row r="12" spans="2:10">
      <c r="B12">
        <v>2003</v>
      </c>
      <c r="C12">
        <v>500</v>
      </c>
      <c r="D12">
        <v>995</v>
      </c>
      <c r="E12">
        <v>1216</v>
      </c>
      <c r="F12">
        <v>2925</v>
      </c>
      <c r="G12">
        <v>10878</v>
      </c>
      <c r="H12">
        <v>4867</v>
      </c>
      <c r="I12">
        <v>21381</v>
      </c>
      <c r="J12">
        <v>24595</v>
      </c>
    </row>
    <row r="13" spans="2:10">
      <c r="B13">
        <v>2006</v>
      </c>
      <c r="C13">
        <v>562</v>
      </c>
      <c r="D13">
        <v>936</v>
      </c>
      <c r="E13">
        <v>1112</v>
      </c>
      <c r="F13">
        <v>2782</v>
      </c>
      <c r="G13">
        <v>11010</v>
      </c>
      <c r="H13">
        <v>5835</v>
      </c>
      <c r="I13">
        <v>22238</v>
      </c>
      <c r="J13">
        <v>25285</v>
      </c>
    </row>
    <row r="14" spans="2:10">
      <c r="B14">
        <v>2006</v>
      </c>
      <c r="C14">
        <f>C11*C13</f>
        <v>505.8</v>
      </c>
      <c r="D14">
        <f t="shared" ref="D14:G14" si="1">D11*D13</f>
        <v>655.19999999999993</v>
      </c>
      <c r="E14">
        <f t="shared" si="1"/>
        <v>556</v>
      </c>
      <c r="F14">
        <f t="shared" si="1"/>
        <v>834.6</v>
      </c>
      <c r="G14">
        <f t="shared" si="1"/>
        <v>1101</v>
      </c>
    </row>
    <row r="15" spans="2:10">
      <c r="B15" t="s">
        <v>357</v>
      </c>
      <c r="C15">
        <f>SUM(C14:G14)/(I13-H13)</f>
        <v>0.22267877827226726</v>
      </c>
    </row>
    <row r="17" spans="2:6">
      <c r="B17" s="18" t="s">
        <v>261</v>
      </c>
    </row>
    <row r="18" spans="2:6">
      <c r="B18" s="62" t="s">
        <v>360</v>
      </c>
    </row>
    <row r="19" spans="2:6">
      <c r="B19" t="s">
        <v>285</v>
      </c>
      <c r="C19" s="15">
        <f>C15</f>
        <v>0.22267877827226726</v>
      </c>
      <c r="D19" t="s">
        <v>358</v>
      </c>
    </row>
    <row r="20" spans="2:6">
      <c r="B20" t="s">
        <v>361</v>
      </c>
      <c r="C20" s="15"/>
    </row>
    <row r="21" spans="2:6">
      <c r="B21" t="s">
        <v>285</v>
      </c>
      <c r="C21" s="15">
        <v>1</v>
      </c>
      <c r="D21" t="s">
        <v>359</v>
      </c>
    </row>
    <row r="22" spans="2:6">
      <c r="B22" s="15" t="str">
        <f>MVHR!B12</f>
        <v>Typical house area</v>
      </c>
      <c r="C22" s="52">
        <f>MVHR!C12</f>
        <v>80</v>
      </c>
      <c r="D22" s="15" t="str">
        <f>MVHR!D12</f>
        <v>m2</v>
      </c>
    </row>
    <row r="23" spans="2:6">
      <c r="B23" s="15" t="str">
        <f>MVHR!B13</f>
        <v>Typical height</v>
      </c>
      <c r="C23" s="52">
        <f>MVHR!C13</f>
        <v>5.5</v>
      </c>
      <c r="D23" s="15" t="str">
        <f>MVHR!D13</f>
        <v>m2</v>
      </c>
    </row>
    <row r="24" spans="2:6">
      <c r="B24" s="15" t="str">
        <f>MVHR!B14</f>
        <v>Typical volume</v>
      </c>
      <c r="C24" s="17">
        <f>MVHR!C14</f>
        <v>440</v>
      </c>
      <c r="D24" s="15" t="s">
        <v>320</v>
      </c>
    </row>
    <row r="25" spans="2:6">
      <c r="B25" s="15"/>
      <c r="C25" s="17"/>
      <c r="D25" s="15"/>
    </row>
    <row r="26" spans="2:6">
      <c r="B26" s="15" t="s">
        <v>339</v>
      </c>
      <c r="C26" s="61">
        <v>55</v>
      </c>
      <c r="D26" s="15" t="s">
        <v>340</v>
      </c>
    </row>
    <row r="27" spans="2:6">
      <c r="B27" s="15" t="s">
        <v>339</v>
      </c>
      <c r="C27" s="17">
        <f>C26/('EST ASSUMPTIONS'!C7/100)</f>
        <v>1185.344827586207</v>
      </c>
      <c r="D27" s="15" t="s">
        <v>341</v>
      </c>
    </row>
    <row r="29" spans="2:6">
      <c r="B29" t="s">
        <v>479</v>
      </c>
      <c r="C29">
        <v>20</v>
      </c>
      <c r="D29" t="s">
        <v>322</v>
      </c>
      <c r="F29" t="s">
        <v>476</v>
      </c>
    </row>
    <row r="30" spans="2:6">
      <c r="B30" t="s">
        <v>321</v>
      </c>
      <c r="C30">
        <v>10</v>
      </c>
      <c r="D30" t="s">
        <v>322</v>
      </c>
      <c r="F30" t="s">
        <v>477</v>
      </c>
    </row>
    <row r="31" spans="2:6">
      <c r="B31" t="s">
        <v>344</v>
      </c>
      <c r="C31">
        <v>3</v>
      </c>
      <c r="D31" t="s">
        <v>322</v>
      </c>
      <c r="F31" t="s">
        <v>478</v>
      </c>
    </row>
    <row r="32" spans="2:6">
      <c r="B32" t="s">
        <v>323</v>
      </c>
      <c r="C32">
        <v>17</v>
      </c>
      <c r="D32" t="s">
        <v>324</v>
      </c>
    </row>
    <row r="34" spans="2:6" s="19" customFormat="1" ht="60">
      <c r="C34" s="19" t="s">
        <v>342</v>
      </c>
      <c r="E34" s="19" t="s">
        <v>343</v>
      </c>
    </row>
    <row r="35" spans="2:6">
      <c r="B35" t="s">
        <v>325</v>
      </c>
      <c r="C35">
        <f>C29/$C$32</f>
        <v>1.1764705882352942</v>
      </c>
      <c r="D35" t="s">
        <v>327</v>
      </c>
      <c r="E35">
        <f>C30/$C$32</f>
        <v>0.58823529411764708</v>
      </c>
      <c r="F35" t="s">
        <v>327</v>
      </c>
    </row>
    <row r="36" spans="2:6">
      <c r="B36" t="s">
        <v>326</v>
      </c>
      <c r="C36">
        <f>C30/$C$32</f>
        <v>0.58823529411764708</v>
      </c>
      <c r="D36" t="s">
        <v>327</v>
      </c>
      <c r="E36">
        <f>C31/$C$32</f>
        <v>0.17647058823529413</v>
      </c>
      <c r="F36" t="s">
        <v>327</v>
      </c>
    </row>
    <row r="37" spans="2:6">
      <c r="B37" t="s">
        <v>328</v>
      </c>
      <c r="C37">
        <f>C35-C36</f>
        <v>0.58823529411764708</v>
      </c>
      <c r="D37" t="s">
        <v>327</v>
      </c>
      <c r="E37">
        <f>E35-E36</f>
        <v>0.41176470588235292</v>
      </c>
      <c r="F37" t="s">
        <v>327</v>
      </c>
    </row>
    <row r="38" spans="2:6">
      <c r="B38" t="s">
        <v>331</v>
      </c>
      <c r="C38">
        <f>C37*C24</f>
        <v>258.8235294117647</v>
      </c>
      <c r="D38" t="s">
        <v>332</v>
      </c>
      <c r="E38">
        <f>E37*C24</f>
        <v>181.17647058823528</v>
      </c>
      <c r="F38" t="s">
        <v>332</v>
      </c>
    </row>
    <row r="39" spans="2:6">
      <c r="B39" t="s">
        <v>329</v>
      </c>
      <c r="C39">
        <f>C38*MVHR!C18</f>
        <v>310.58823529411762</v>
      </c>
      <c r="D39" t="s">
        <v>333</v>
      </c>
      <c r="E39">
        <f>E38*MVHR!C18</f>
        <v>217.41176470588232</v>
      </c>
      <c r="F39" t="s">
        <v>333</v>
      </c>
    </row>
    <row r="40" spans="2:6">
      <c r="B40" t="s">
        <v>330</v>
      </c>
      <c r="C40">
        <f>C39*MVHR!C19</f>
        <v>314315.29411764705</v>
      </c>
      <c r="D40" t="s">
        <v>334</v>
      </c>
      <c r="E40">
        <f>E39*MVHR!C19</f>
        <v>220020.70588235289</v>
      </c>
      <c r="F40" t="s">
        <v>334</v>
      </c>
    </row>
    <row r="41" spans="2:6">
      <c r="B41" t="s">
        <v>330</v>
      </c>
      <c r="C41">
        <f>C40/3600000</f>
        <v>8.7309803921568618E-2</v>
      </c>
      <c r="D41" t="s">
        <v>335</v>
      </c>
      <c r="E41">
        <f>E40/3600000</f>
        <v>6.1116862745098026E-2</v>
      </c>
      <c r="F41" t="s">
        <v>335</v>
      </c>
    </row>
    <row r="42" spans="2:6">
      <c r="B42" t="s">
        <v>336</v>
      </c>
      <c r="C42">
        <f>'degree days'!G15</f>
        <v>38024</v>
      </c>
      <c r="E42">
        <f>'degree days'!G15</f>
        <v>38024</v>
      </c>
    </row>
    <row r="43" spans="2:6">
      <c r="B43" t="s">
        <v>338</v>
      </c>
      <c r="C43">
        <f>C41*C42</f>
        <v>3319.8679843137252</v>
      </c>
      <c r="D43" t="s">
        <v>337</v>
      </c>
      <c r="E43">
        <f>E41*E42</f>
        <v>2323.9075890196073</v>
      </c>
      <c r="F43" t="s">
        <v>337</v>
      </c>
    </row>
    <row r="46" spans="2:6">
      <c r="B46" s="19" t="s">
        <v>417</v>
      </c>
    </row>
    <row r="47" spans="2:6">
      <c r="B47" s="19" t="s">
        <v>422</v>
      </c>
      <c r="C47">
        <v>158220</v>
      </c>
    </row>
    <row r="48" spans="2:6">
      <c r="B48" s="19" t="s">
        <v>423</v>
      </c>
      <c r="C48">
        <f>'EST HOME ANALYTICS'!K21</f>
        <v>63364</v>
      </c>
    </row>
    <row r="49" spans="2:8">
      <c r="B49" s="19" t="s">
        <v>421</v>
      </c>
      <c r="C49">
        <f>C47/C48</f>
        <v>2.49700145192854</v>
      </c>
    </row>
    <row r="50" spans="2:8">
      <c r="B50" t="s">
        <v>418</v>
      </c>
      <c r="C50">
        <f>C35</f>
        <v>1.1764705882352942</v>
      </c>
      <c r="D50" t="s">
        <v>327</v>
      </c>
      <c r="E50">
        <f>C50*$C$24</f>
        <v>517.64705882352939</v>
      </c>
      <c r="F50" t="s">
        <v>332</v>
      </c>
      <c r="G50">
        <f>E50/$C$49</f>
        <v>207.30747209767486</v>
      </c>
      <c r="H50" t="s">
        <v>424</v>
      </c>
    </row>
    <row r="51" spans="2:8">
      <c r="B51" t="s">
        <v>419</v>
      </c>
      <c r="C51">
        <f>C36</f>
        <v>0.58823529411764708</v>
      </c>
      <c r="D51" t="s">
        <v>327</v>
      </c>
      <c r="E51">
        <f t="shared" ref="E51:E52" si="2">C51*$C$24</f>
        <v>258.8235294117647</v>
      </c>
      <c r="F51" t="s">
        <v>332</v>
      </c>
      <c r="G51">
        <f t="shared" ref="G51:G52" si="3">E51/$C$49</f>
        <v>103.65373604883743</v>
      </c>
      <c r="H51" t="s">
        <v>424</v>
      </c>
    </row>
    <row r="52" spans="2:8">
      <c r="B52" t="s">
        <v>420</v>
      </c>
      <c r="C52">
        <f>E36</f>
        <v>0.17647058823529413</v>
      </c>
      <c r="D52" t="s">
        <v>327</v>
      </c>
      <c r="E52">
        <f t="shared" si="2"/>
        <v>77.64705882352942</v>
      </c>
      <c r="F52" t="s">
        <v>332</v>
      </c>
      <c r="G52">
        <f t="shared" si="3"/>
        <v>31.096120814651233</v>
      </c>
      <c r="H52" t="s">
        <v>424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N32"/>
  <sheetViews>
    <sheetView topLeftCell="A4" workbookViewId="0">
      <selection activeCell="B26" sqref="B26"/>
    </sheetView>
  </sheetViews>
  <sheetFormatPr defaultRowHeight="15"/>
  <cols>
    <col min="2" max="2" width="17.140625" customWidth="1"/>
    <col min="4" max="4" width="10.140625" customWidth="1"/>
    <col min="6" max="6" width="11" bestFit="1" customWidth="1"/>
    <col min="7" max="7" width="12" bestFit="1" customWidth="1"/>
    <col min="8" max="8" width="10.5703125" customWidth="1"/>
    <col min="10" max="10" width="10.140625" customWidth="1"/>
  </cols>
  <sheetData>
    <row r="3" spans="2:4" ht="60">
      <c r="B3" s="3"/>
      <c r="C3" s="4" t="s">
        <v>286</v>
      </c>
      <c r="D3" s="4" t="s">
        <v>287</v>
      </c>
    </row>
    <row r="4" spans="2:4">
      <c r="B4" s="5" t="s">
        <v>28</v>
      </c>
      <c r="C4" s="11">
        <f>C29</f>
        <v>36314.999994599901</v>
      </c>
      <c r="D4" s="56">
        <f>K29</f>
        <v>25.380275895821203</v>
      </c>
    </row>
    <row r="5" spans="2:4">
      <c r="B5" s="5" t="s">
        <v>29</v>
      </c>
      <c r="C5" s="11">
        <f t="shared" ref="C5:C7" si="0">C30</f>
        <v>21633.999999200001</v>
      </c>
      <c r="D5" s="56">
        <f t="shared" ref="D5:D7" si="1">K30</f>
        <v>15.119837224054534</v>
      </c>
    </row>
    <row r="6" spans="2:4">
      <c r="B6" s="5" t="s">
        <v>30</v>
      </c>
      <c r="C6" s="11">
        <f t="shared" si="0"/>
        <v>12601.999999850001</v>
      </c>
      <c r="D6" s="56">
        <f t="shared" si="1"/>
        <v>8.8074414672419898</v>
      </c>
    </row>
    <row r="7" spans="2:4">
      <c r="B7" s="8" t="s">
        <v>31</v>
      </c>
      <c r="C7" s="12">
        <f t="shared" si="0"/>
        <v>63363.999993159901</v>
      </c>
      <c r="D7" s="56">
        <f t="shared" si="1"/>
        <v>44.284615225894349</v>
      </c>
    </row>
    <row r="10" spans="2:4">
      <c r="B10" s="18" t="s">
        <v>261</v>
      </c>
    </row>
    <row r="11" spans="2:4">
      <c r="B11" s="15" t="s">
        <v>285</v>
      </c>
      <c r="C11" s="15">
        <v>1</v>
      </c>
    </row>
    <row r="12" spans="2:4">
      <c r="B12" s="15" t="s">
        <v>308</v>
      </c>
      <c r="C12" s="23">
        <v>80</v>
      </c>
      <c r="D12" t="s">
        <v>233</v>
      </c>
    </row>
    <row r="13" spans="2:4">
      <c r="B13" s="15" t="s">
        <v>309</v>
      </c>
      <c r="C13" s="23">
        <v>5.5</v>
      </c>
      <c r="D13" t="s">
        <v>233</v>
      </c>
    </row>
    <row r="14" spans="2:4">
      <c r="B14" s="15" t="s">
        <v>310</v>
      </c>
      <c r="C14" s="23">
        <f>C12*C13</f>
        <v>440</v>
      </c>
    </row>
    <row r="15" spans="2:4">
      <c r="B15" s="15" t="s">
        <v>311</v>
      </c>
      <c r="C15" s="23">
        <f>draughtproofing!C52</f>
        <v>0.17647058823529413</v>
      </c>
      <c r="D15" t="s">
        <v>425</v>
      </c>
    </row>
    <row r="16" spans="2:4">
      <c r="B16" t="s">
        <v>284</v>
      </c>
      <c r="C16">
        <v>30</v>
      </c>
      <c r="D16" t="s">
        <v>283</v>
      </c>
    </row>
    <row r="18" spans="2:14">
      <c r="B18" t="s">
        <v>288</v>
      </c>
      <c r="C18">
        <v>1.2</v>
      </c>
      <c r="D18" t="s">
        <v>289</v>
      </c>
    </row>
    <row r="19" spans="2:14">
      <c r="B19" t="s">
        <v>291</v>
      </c>
      <c r="C19">
        <v>1012</v>
      </c>
      <c r="D19" t="s">
        <v>290</v>
      </c>
    </row>
    <row r="20" spans="2:14">
      <c r="B20" t="s">
        <v>301</v>
      </c>
      <c r="C20">
        <f>'degree days'!G15</f>
        <v>38024</v>
      </c>
      <c r="D20" t="s">
        <v>302</v>
      </c>
    </row>
    <row r="22" spans="2:14">
      <c r="B22" t="s">
        <v>293</v>
      </c>
    </row>
    <row r="23" spans="2:14">
      <c r="B23" t="s">
        <v>294</v>
      </c>
    </row>
    <row r="24" spans="2:14">
      <c r="B24" t="s">
        <v>295</v>
      </c>
      <c r="C24" s="15">
        <v>0.9</v>
      </c>
    </row>
    <row r="25" spans="2:14">
      <c r="B25" t="s">
        <v>296</v>
      </c>
      <c r="C25">
        <v>34</v>
      </c>
      <c r="D25" t="s">
        <v>297</v>
      </c>
      <c r="E25" t="s">
        <v>298</v>
      </c>
    </row>
    <row r="28" spans="2:14" s="19" customFormat="1" ht="75">
      <c r="C28" s="2" t="s">
        <v>312</v>
      </c>
      <c r="D28" s="2" t="s">
        <v>299</v>
      </c>
      <c r="E28" s="2" t="s">
        <v>300</v>
      </c>
      <c r="F28" s="2" t="s">
        <v>303</v>
      </c>
      <c r="G28" s="2" t="s">
        <v>305</v>
      </c>
      <c r="H28" s="2" t="s">
        <v>304</v>
      </c>
      <c r="I28" s="2" t="s">
        <v>306</v>
      </c>
      <c r="J28" s="2" t="s">
        <v>307</v>
      </c>
      <c r="K28" s="2" t="s">
        <v>313</v>
      </c>
      <c r="L28" s="2"/>
      <c r="M28" s="2"/>
      <c r="N28" s="2"/>
    </row>
    <row r="29" spans="2:14">
      <c r="B29" t="s">
        <v>28</v>
      </c>
      <c r="C29" s="21">
        <f>36314.9999945999*C11</f>
        <v>36314.999994599901</v>
      </c>
      <c r="D29" s="22">
        <f>C29*$C$14*$C$15</f>
        <v>2819752.9407571689</v>
      </c>
      <c r="E29" s="22">
        <f>D29*$C$18</f>
        <v>3383703.5289086024</v>
      </c>
      <c r="F29" s="22">
        <f>E29*$C$19</f>
        <v>3424307971.2555056</v>
      </c>
      <c r="G29" s="22">
        <f>F29/3600000</f>
        <v>951.19665868208483</v>
      </c>
      <c r="H29" s="53">
        <f>G29*$C$20/1000000</f>
        <v>36.16830174972759</v>
      </c>
      <c r="I29" s="53">
        <f>H29*$C$24</f>
        <v>32.551471574754835</v>
      </c>
      <c r="J29" s="53">
        <f>C4*$C$25*(24*(30+31+30+31+31+28+31+30))/1000000000</f>
        <v>7.171195678933632</v>
      </c>
      <c r="K29" s="53">
        <f>I29-J29</f>
        <v>25.380275895821203</v>
      </c>
      <c r="L29" s="22"/>
      <c r="M29" s="22"/>
      <c r="N29" s="22"/>
    </row>
    <row r="30" spans="2:14">
      <c r="B30" t="s">
        <v>29</v>
      </c>
      <c r="C30" s="21">
        <f>21633.9999992*C11</f>
        <v>21633.999999200001</v>
      </c>
      <c r="D30" s="22">
        <f>C30*$C$14*$C$15</f>
        <v>1679816.4705261178</v>
      </c>
      <c r="E30" s="22">
        <f t="shared" ref="E30:E32" si="2">D30*$C$18</f>
        <v>2015779.7646313412</v>
      </c>
      <c r="F30" s="22">
        <f t="shared" ref="F30:F32" si="3">E30*$C$19</f>
        <v>2039969121.8069172</v>
      </c>
      <c r="G30" s="22">
        <f t="shared" ref="G30:G32" si="4">F30/3600000</f>
        <v>566.65808939081035</v>
      </c>
      <c r="H30" s="53">
        <f t="shared" ref="H30:H32" si="5">G30*$C$20/1000000</f>
        <v>21.546607190996173</v>
      </c>
      <c r="I30" s="53">
        <f t="shared" ref="I30:I32" si="6">H30*$C$24</f>
        <v>19.391946471896556</v>
      </c>
      <c r="J30" s="53">
        <f t="shared" ref="J30:J32" si="7">C5*$C$25*(24*(30+31+30+31+31+28+31+30))/1000000000</f>
        <v>4.2721092478420228</v>
      </c>
      <c r="K30" s="53">
        <f t="shared" ref="K30:K32" si="8">I30-J30</f>
        <v>15.119837224054534</v>
      </c>
      <c r="L30" s="22"/>
      <c r="M30" s="22"/>
      <c r="N30" s="22"/>
    </row>
    <row r="31" spans="2:14">
      <c r="B31" t="s">
        <v>30</v>
      </c>
      <c r="C31" s="21">
        <f>12601.99999985*C11</f>
        <v>12601.999999850001</v>
      </c>
      <c r="D31" s="22">
        <f>C31*$C$14*$C$15</f>
        <v>978508.23528247059</v>
      </c>
      <c r="E31" s="22">
        <f t="shared" si="2"/>
        <v>1174209.8823389646</v>
      </c>
      <c r="F31" s="22">
        <f t="shared" si="3"/>
        <v>1188300400.9270322</v>
      </c>
      <c r="G31" s="22">
        <f t="shared" si="4"/>
        <v>330.0834447019534</v>
      </c>
      <c r="H31" s="53">
        <f t="shared" si="5"/>
        <v>12.551092901347076</v>
      </c>
      <c r="I31" s="53">
        <f t="shared" si="6"/>
        <v>11.295983611212369</v>
      </c>
      <c r="J31" s="53">
        <f t="shared" si="7"/>
        <v>2.4885421439703794</v>
      </c>
      <c r="K31" s="53">
        <f t="shared" si="8"/>
        <v>8.8074414672419898</v>
      </c>
      <c r="L31" s="22"/>
      <c r="M31" s="22"/>
      <c r="N31" s="22"/>
    </row>
    <row r="32" spans="2:14">
      <c r="B32" t="s">
        <v>31</v>
      </c>
      <c r="C32" s="21">
        <f>63363.9999931599*C11</f>
        <v>63363.999993159901</v>
      </c>
      <c r="D32" s="22">
        <f>C32*$C$14*$C$15</f>
        <v>4920028.2347630048</v>
      </c>
      <c r="E32" s="22">
        <f t="shared" si="2"/>
        <v>5904033.881715606</v>
      </c>
      <c r="F32" s="22">
        <f t="shared" si="3"/>
        <v>5974882288.2961931</v>
      </c>
      <c r="G32" s="22">
        <f t="shared" si="4"/>
        <v>1659.6895245267203</v>
      </c>
      <c r="H32" s="53">
        <f t="shared" si="5"/>
        <v>63.108034480604019</v>
      </c>
      <c r="I32" s="53">
        <f t="shared" si="6"/>
        <v>56.797231032543621</v>
      </c>
      <c r="J32" s="53">
        <f t="shared" si="7"/>
        <v>12.512615806649272</v>
      </c>
      <c r="K32" s="53">
        <f t="shared" si="8"/>
        <v>44.284615225894349</v>
      </c>
      <c r="L32" s="22"/>
      <c r="M32" s="22"/>
      <c r="N32" s="2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2"/>
  <sheetViews>
    <sheetView workbookViewId="0">
      <selection activeCell="B3" sqref="B3"/>
    </sheetView>
  </sheetViews>
  <sheetFormatPr defaultRowHeight="15"/>
  <sheetData>
    <row r="2" spans="2:2">
      <c r="B2" t="s">
        <v>352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3:J20"/>
  <sheetViews>
    <sheetView workbookViewId="0">
      <selection activeCell="C21" sqref="C21"/>
    </sheetView>
  </sheetViews>
  <sheetFormatPr defaultRowHeight="15"/>
  <cols>
    <col min="2" max="2" width="22.7109375" customWidth="1"/>
  </cols>
  <sheetData>
    <row r="3" spans="2:10" ht="135">
      <c r="B3" s="3"/>
      <c r="C3" s="4" t="s">
        <v>286</v>
      </c>
      <c r="D3" s="4" t="s">
        <v>345</v>
      </c>
    </row>
    <row r="4" spans="2:10">
      <c r="B4" s="5" t="s">
        <v>28</v>
      </c>
      <c r="C4" s="11">
        <f>'EST HOME ANALYTICS'!K18*$C$16</f>
        <v>1559.7425350998617</v>
      </c>
      <c r="D4" s="56">
        <f>C4*$C$20/1000000</f>
        <v>0.84037852106673594</v>
      </c>
    </row>
    <row r="5" spans="2:10">
      <c r="B5" s="5" t="s">
        <v>29</v>
      </c>
      <c r="C5" s="11">
        <f>'EST HOME ANALYTICS'!K19*$C$16</f>
        <v>929.18821435633777</v>
      </c>
      <c r="D5" s="56">
        <f t="shared" ref="D5:D7" si="0">C5*$C$20/1000000</f>
        <v>0.50064020170061307</v>
      </c>
    </row>
    <row r="6" spans="2:10">
      <c r="B6" s="5" t="s">
        <v>30</v>
      </c>
      <c r="C6" s="11">
        <f>'EST HOME ANALYTICS'!K20*$C$16</f>
        <v>541.26051018390353</v>
      </c>
      <c r="D6" s="56">
        <f t="shared" si="0"/>
        <v>0.29162743005598257</v>
      </c>
    </row>
    <row r="7" spans="2:10">
      <c r="B7" s="8" t="s">
        <v>31</v>
      </c>
      <c r="C7" s="58">
        <f>'EST HOME ANALYTICS'!K21*$C$16</f>
        <v>2721.5069804231757</v>
      </c>
      <c r="D7" s="60">
        <f t="shared" si="0"/>
        <v>1.4663291920383492</v>
      </c>
    </row>
    <row r="9" spans="2:10">
      <c r="B9" s="18" t="s">
        <v>261</v>
      </c>
    </row>
    <row r="10" spans="2:10">
      <c r="B10" s="14" t="s">
        <v>355</v>
      </c>
    </row>
    <row r="11" spans="2:10">
      <c r="B11" s="62" t="s">
        <v>410</v>
      </c>
    </row>
    <row r="12" spans="2:10">
      <c r="B12" t="s">
        <v>402</v>
      </c>
      <c r="C12" t="s">
        <v>403</v>
      </c>
      <c r="D12" t="s">
        <v>404</v>
      </c>
      <c r="E12" t="s">
        <v>405</v>
      </c>
      <c r="F12" t="s">
        <v>406</v>
      </c>
      <c r="G12" t="s">
        <v>151</v>
      </c>
      <c r="H12" t="s">
        <v>407</v>
      </c>
      <c r="I12" t="s">
        <v>408</v>
      </c>
      <c r="J12" t="s">
        <v>409</v>
      </c>
    </row>
    <row r="13" spans="2:10">
      <c r="B13">
        <v>2003</v>
      </c>
      <c r="C13">
        <v>724</v>
      </c>
      <c r="D13">
        <v>2111</v>
      </c>
      <c r="E13">
        <v>12389</v>
      </c>
      <c r="F13">
        <v>1215</v>
      </c>
      <c r="G13">
        <v>1314</v>
      </c>
      <c r="H13">
        <v>17753</v>
      </c>
      <c r="I13">
        <v>18769</v>
      </c>
      <c r="J13">
        <v>24595</v>
      </c>
    </row>
    <row r="14" spans="2:10">
      <c r="B14">
        <v>2006</v>
      </c>
      <c r="C14">
        <v>724</v>
      </c>
      <c r="D14">
        <v>2145</v>
      </c>
      <c r="E14">
        <v>12699</v>
      </c>
      <c r="F14">
        <v>1257</v>
      </c>
      <c r="G14">
        <v>1389</v>
      </c>
      <c r="H14">
        <v>18214</v>
      </c>
      <c r="I14">
        <v>19300</v>
      </c>
      <c r="J14">
        <v>25285</v>
      </c>
    </row>
    <row r="15" spans="2:10">
      <c r="B15" t="s">
        <v>411</v>
      </c>
      <c r="C15" s="70">
        <f>(I14-H14)/I14</f>
        <v>5.6269430051813472E-2</v>
      </c>
      <c r="D15" t="s">
        <v>415</v>
      </c>
    </row>
    <row r="16" spans="2:10">
      <c r="C16" s="70">
        <f>C15*(I14/J14)</f>
        <v>4.2950365829543209E-2</v>
      </c>
      <c r="D16" t="s">
        <v>416</v>
      </c>
    </row>
    <row r="17" spans="2:4">
      <c r="B17" t="s">
        <v>142</v>
      </c>
      <c r="C17" s="16">
        <v>15</v>
      </c>
      <c r="D17" t="s">
        <v>412</v>
      </c>
    </row>
    <row r="18" spans="2:4">
      <c r="B18" t="s">
        <v>142</v>
      </c>
      <c r="C18" s="16">
        <v>10</v>
      </c>
      <c r="D18" t="s">
        <v>413</v>
      </c>
    </row>
    <row r="19" spans="2:4">
      <c r="B19" t="s">
        <v>390</v>
      </c>
      <c r="C19">
        <f>lighting!C22</f>
        <v>4.6399999999999997</v>
      </c>
      <c r="D19" t="s">
        <v>366</v>
      </c>
    </row>
    <row r="20" spans="2:4">
      <c r="B20" t="s">
        <v>414</v>
      </c>
      <c r="C20">
        <f>(C17+C18)*100/C19</f>
        <v>538.79310344827593</v>
      </c>
      <c r="D20" t="s">
        <v>143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3:G33"/>
  <sheetViews>
    <sheetView workbookViewId="0">
      <selection activeCell="D4" sqref="D4"/>
    </sheetView>
  </sheetViews>
  <sheetFormatPr defaultRowHeight="15"/>
  <cols>
    <col min="2" max="2" width="27.28515625" customWidth="1"/>
    <col min="3" max="3" width="8.140625" customWidth="1"/>
  </cols>
  <sheetData>
    <row r="3" spans="2:4" ht="45">
      <c r="B3" s="3"/>
      <c r="C3" s="4" t="s">
        <v>286</v>
      </c>
      <c r="D3" s="4" t="s">
        <v>632</v>
      </c>
    </row>
    <row r="4" spans="2:4">
      <c r="B4" s="5" t="s">
        <v>28</v>
      </c>
      <c r="C4" s="11">
        <f>'EST HOME ANALYTICS'!K18</f>
        <v>36315</v>
      </c>
      <c r="D4" s="56">
        <f>C4*$C$17/1000000</f>
        <v>10.191011085675001</v>
      </c>
    </row>
    <row r="5" spans="2:4">
      <c r="B5" s="5" t="s">
        <v>29</v>
      </c>
      <c r="C5" s="11">
        <f>'EST HOME ANALYTICS'!K19</f>
        <v>21634</v>
      </c>
      <c r="D5" s="56">
        <f>C5*$C$17/1000000</f>
        <v>6.0711092889300007</v>
      </c>
    </row>
    <row r="6" spans="2:4">
      <c r="B6" s="5" t="s">
        <v>30</v>
      </c>
      <c r="C6" s="11">
        <f>'EST HOME ANALYTICS'!K20</f>
        <v>12602</v>
      </c>
      <c r="D6" s="56">
        <f t="shared" ref="D6:D7" si="0">C6*$C$17/1000000</f>
        <v>3.5364758832900001</v>
      </c>
    </row>
    <row r="7" spans="2:4">
      <c r="B7" s="8" t="s">
        <v>31</v>
      </c>
      <c r="C7" s="12">
        <f>'EST HOME ANALYTICS'!K21</f>
        <v>63364</v>
      </c>
      <c r="D7" s="59">
        <f t="shared" si="0"/>
        <v>17.78172177978</v>
      </c>
    </row>
    <row r="8" spans="2:4">
      <c r="B8" s="63"/>
      <c r="C8" s="64"/>
      <c r="D8" s="65"/>
    </row>
    <row r="9" spans="2:4">
      <c r="B9" s="18" t="s">
        <v>261</v>
      </c>
    </row>
    <row r="10" spans="2:4">
      <c r="B10" s="62" t="s">
        <v>602</v>
      </c>
      <c r="C10">
        <v>537</v>
      </c>
      <c r="D10" t="s">
        <v>143</v>
      </c>
    </row>
    <row r="11" spans="2:4">
      <c r="B11" t="s">
        <v>603</v>
      </c>
      <c r="C11" s="76">
        <v>0.498</v>
      </c>
    </row>
    <row r="12" spans="2:4">
      <c r="B12" t="s">
        <v>604</v>
      </c>
      <c r="C12" s="76">
        <f>27.2%+11.2%</f>
        <v>0.38400000000000001</v>
      </c>
    </row>
    <row r="13" spans="2:4">
      <c r="B13" t="s">
        <v>605</v>
      </c>
    </row>
    <row r="14" spans="2:4">
      <c r="B14" t="s">
        <v>607</v>
      </c>
      <c r="C14">
        <v>4</v>
      </c>
      <c r="D14" t="s">
        <v>606</v>
      </c>
    </row>
    <row r="15" spans="2:4">
      <c r="B15" t="s">
        <v>608</v>
      </c>
      <c r="C15">
        <f>C10*(C11+C12)</f>
        <v>473.63400000000001</v>
      </c>
    </row>
    <row r="16" spans="2:4">
      <c r="B16" t="s">
        <v>427</v>
      </c>
      <c r="C16">
        <f>C15-C15/C14</f>
        <v>355.22550000000001</v>
      </c>
    </row>
    <row r="17" spans="2:7">
      <c r="B17" t="s">
        <v>609</v>
      </c>
      <c r="C17">
        <f>C16*(1-C23)</f>
        <v>280.62814500000002</v>
      </c>
    </row>
    <row r="19" spans="2:7">
      <c r="B19" s="77" t="s">
        <v>610</v>
      </c>
    </row>
    <row r="20" spans="2:7">
      <c r="B20" t="s">
        <v>362</v>
      </c>
      <c r="C20" s="16">
        <v>35</v>
      </c>
      <c r="D20" t="s">
        <v>237</v>
      </c>
      <c r="E20" t="s">
        <v>363</v>
      </c>
    </row>
    <row r="21" spans="2:7">
      <c r="B21" t="s">
        <v>364</v>
      </c>
      <c r="C21">
        <f>'EST ASSUMPTIONS'!H7</f>
        <v>15.32</v>
      </c>
      <c r="D21" t="s">
        <v>366</v>
      </c>
    </row>
    <row r="22" spans="2:7">
      <c r="B22" t="s">
        <v>365</v>
      </c>
      <c r="C22">
        <f>'EST ASSUMPTIONS'!C7</f>
        <v>4.6399999999999997</v>
      </c>
      <c r="D22" t="s">
        <v>366</v>
      </c>
    </row>
    <row r="23" spans="2:7">
      <c r="B23" t="s">
        <v>367</v>
      </c>
      <c r="C23" s="15">
        <f>HRF!L10</f>
        <v>0.21</v>
      </c>
    </row>
    <row r="25" spans="2:7">
      <c r="B25" s="62" t="s">
        <v>368</v>
      </c>
      <c r="C25" t="s">
        <v>372</v>
      </c>
      <c r="D25" t="s">
        <v>371</v>
      </c>
      <c r="E25" t="s">
        <v>381</v>
      </c>
      <c r="F25" t="s">
        <v>382</v>
      </c>
      <c r="G25" t="s">
        <v>383</v>
      </c>
    </row>
    <row r="26" spans="2:7">
      <c r="B26" t="s">
        <v>369</v>
      </c>
      <c r="C26" t="s">
        <v>373</v>
      </c>
      <c r="D26" s="54">
        <f>(60-11)*50*7*2/1000*C21/100</f>
        <v>5.2547600000000001</v>
      </c>
      <c r="E26" s="52">
        <f>D26*100/C21</f>
        <v>34.299999999999997</v>
      </c>
      <c r="F26" s="52">
        <f>E26*C23</f>
        <v>7.2029999999999994</v>
      </c>
      <c r="G26" s="23">
        <f>E26-F26</f>
        <v>27.096999999999998</v>
      </c>
    </row>
    <row r="27" spans="2:7">
      <c r="B27" t="s">
        <v>370</v>
      </c>
      <c r="C27" t="s">
        <v>237</v>
      </c>
      <c r="D27" s="16">
        <v>4</v>
      </c>
      <c r="E27" s="52">
        <f>(D27*100)/(C21-(C22*C23))</f>
        <v>27.883113986169974</v>
      </c>
      <c r="F27" s="52">
        <f>E27*C23</f>
        <v>5.8554539370956942</v>
      </c>
      <c r="G27" s="23">
        <f>E27-F27</f>
        <v>22.027660049074278</v>
      </c>
    </row>
    <row r="29" spans="2:7">
      <c r="B29" t="s">
        <v>374</v>
      </c>
    </row>
    <row r="30" spans="2:7">
      <c r="C30" t="s">
        <v>377</v>
      </c>
      <c r="D30" t="s">
        <v>378</v>
      </c>
      <c r="E30" t="s">
        <v>379</v>
      </c>
      <c r="F30" t="s">
        <v>380</v>
      </c>
    </row>
    <row r="31" spans="2:7">
      <c r="B31" t="s">
        <v>375</v>
      </c>
      <c r="C31">
        <v>12.9</v>
      </c>
      <c r="D31" s="52">
        <f>$C31*E26</f>
        <v>442.46999999999997</v>
      </c>
      <c r="E31" s="52">
        <f t="shared" ref="E31:F32" si="1">$C31*F26</f>
        <v>92.918700000000001</v>
      </c>
      <c r="F31" s="52">
        <f>$C31*G26</f>
        <v>349.55129999999997</v>
      </c>
    </row>
    <row r="32" spans="2:7">
      <c r="B32" t="s">
        <v>376</v>
      </c>
      <c r="C32">
        <f>5.4+5.1</f>
        <v>10.5</v>
      </c>
      <c r="D32" s="52">
        <f>$C32*E27</f>
        <v>292.77269685478473</v>
      </c>
      <c r="E32" s="52">
        <f>$C32*F27</f>
        <v>61.48226633950479</v>
      </c>
      <c r="F32" s="52">
        <f t="shared" si="1"/>
        <v>231.29043051527992</v>
      </c>
    </row>
    <row r="33" spans="2:6">
      <c r="B33" t="s">
        <v>384</v>
      </c>
      <c r="C33" s="52">
        <f>SUM(C31:C32)</f>
        <v>23.4</v>
      </c>
      <c r="D33" s="52">
        <f t="shared" ref="D33:E33" si="2">SUM(D31:D32)</f>
        <v>735.24269685478475</v>
      </c>
      <c r="E33" s="52">
        <f t="shared" si="2"/>
        <v>154.40096633950481</v>
      </c>
      <c r="F33" s="52">
        <f>SUM(F31:F32)</f>
        <v>580.84173051527989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2:M41"/>
  <sheetViews>
    <sheetView topLeftCell="A7" workbookViewId="0">
      <selection activeCell="D17" sqref="D17"/>
    </sheetView>
  </sheetViews>
  <sheetFormatPr defaultRowHeight="15"/>
  <cols>
    <col min="2" max="2" width="21.28515625" customWidth="1"/>
    <col min="3" max="3" width="11.5703125" customWidth="1"/>
  </cols>
  <sheetData>
    <row r="2" spans="2:13" ht="75">
      <c r="B2" s="3"/>
      <c r="C2" s="4" t="s">
        <v>286</v>
      </c>
      <c r="D2" s="4" t="s">
        <v>434</v>
      </c>
      <c r="E2" s="4" t="s">
        <v>286</v>
      </c>
      <c r="F2" s="4" t="s">
        <v>448</v>
      </c>
      <c r="G2" s="4" t="s">
        <v>286</v>
      </c>
      <c r="H2" s="4" t="s">
        <v>447</v>
      </c>
    </row>
    <row r="3" spans="2:13">
      <c r="B3" s="5" t="s">
        <v>28</v>
      </c>
      <c r="C3" s="11">
        <f>'EST HOME ANALYTICS'!K18*(1-$C$40)</f>
        <v>35988.165000000001</v>
      </c>
      <c r="D3" s="56">
        <f>C3*$E$30/1000000</f>
        <v>8.1563197201269926</v>
      </c>
      <c r="E3" s="11">
        <f>'EST HOME ANALYTICS'!K18*(1-$C$41)*($C$37/$C$25)</f>
        <v>14243.582151394421</v>
      </c>
      <c r="F3" s="56">
        <f>E3*$F$14/1000000</f>
        <v>1.1907634678565735</v>
      </c>
      <c r="G3" s="11">
        <f>'EST HOME ANALYTICS'!K18*(1-$C$41)</f>
        <v>31920.884999999998</v>
      </c>
      <c r="H3" s="56">
        <f>G3*$E$35/1000000</f>
        <v>3.1896658192858558</v>
      </c>
    </row>
    <row r="4" spans="2:13">
      <c r="B4" s="5" t="s">
        <v>29</v>
      </c>
      <c r="C4" s="11">
        <f>'EST HOME ANALYTICS'!K19*(1-$C$40)</f>
        <v>21439.293999999998</v>
      </c>
      <c r="D4" s="56">
        <f t="shared" ref="D4:D6" si="0">C4*$E$30/1000000</f>
        <v>4.8589789570488042</v>
      </c>
      <c r="E4" s="11">
        <f>'EST HOME ANALYTICS'!K19*(1-$C$41)*($C$37/$C$25)</f>
        <v>8485.3547091633463</v>
      </c>
      <c r="F4" s="56">
        <f t="shared" ref="F4:F6" si="1">E4*$F$14/1000000</f>
        <v>0.70937565368605571</v>
      </c>
      <c r="G4" s="11">
        <f>'EST HOME ANALYTICS'!K19*(1-$C$41)</f>
        <v>19016.286</v>
      </c>
      <c r="H4" s="56">
        <f t="shared" ref="H4:H6" si="2">G4*$E$35/1000000</f>
        <v>1.9001853320784858</v>
      </c>
    </row>
    <row r="5" spans="2:13">
      <c r="B5" s="5" t="s">
        <v>30</v>
      </c>
      <c r="C5" s="11">
        <f>'EST HOME ANALYTICS'!K20*(1-$C$40)</f>
        <v>12488.582</v>
      </c>
      <c r="D5" s="56">
        <f t="shared" si="0"/>
        <v>2.8303990393237051</v>
      </c>
      <c r="E5" s="11">
        <f>'EST HOME ANALYTICS'!K20*(1-$C$41)*($C$37/$C$25)</f>
        <v>4942.7956015936252</v>
      </c>
      <c r="F5" s="56">
        <f t="shared" si="1"/>
        <v>0.41321771229322701</v>
      </c>
      <c r="G5" s="11">
        <f>'EST HOME ANALYTICS'!K20*(1-$C$41)</f>
        <v>11077.157999999999</v>
      </c>
      <c r="H5" s="56">
        <f t="shared" si="2"/>
        <v>1.1068750834266929</v>
      </c>
    </row>
    <row r="6" spans="2:13">
      <c r="B6" s="8" t="s">
        <v>31</v>
      </c>
      <c r="C6" s="12">
        <f>'EST HOME ANALYTICS'!K21*(1-$C$40)</f>
        <v>62793.724000000002</v>
      </c>
      <c r="D6" s="60">
        <f t="shared" si="0"/>
        <v>14.231503311197212</v>
      </c>
      <c r="E6" s="12">
        <f>'EST HOME ANALYTICS'!K21*(1-$C$41)*($C$37/$C$25)</f>
        <v>24852.824988047807</v>
      </c>
      <c r="F6" s="60">
        <f t="shared" si="1"/>
        <v>2.0776961690007965</v>
      </c>
      <c r="G6" s="12">
        <f>'EST HOME ANALYTICS'!K21*(1-$C$41)</f>
        <v>55696.955999999998</v>
      </c>
      <c r="H6" s="60">
        <f t="shared" si="2"/>
        <v>5.5654684007497996</v>
      </c>
    </row>
    <row r="9" spans="2:13">
      <c r="B9" s="18" t="s">
        <v>137</v>
      </c>
    </row>
    <row r="10" spans="2:13" s="19" customFormat="1" ht="45">
      <c r="B10" s="19" t="s">
        <v>141</v>
      </c>
      <c r="C10" s="2" t="s">
        <v>426</v>
      </c>
      <c r="D10" s="2" t="s">
        <v>428</v>
      </c>
      <c r="E10" s="2" t="s">
        <v>429</v>
      </c>
      <c r="F10" s="2" t="s">
        <v>430</v>
      </c>
      <c r="M10" s="72"/>
    </row>
    <row r="11" spans="2:13">
      <c r="B11" t="s">
        <v>177</v>
      </c>
      <c r="C11" s="22" t="s">
        <v>144</v>
      </c>
      <c r="D11" s="52">
        <v>271</v>
      </c>
      <c r="E11" s="53">
        <f>D11*$C$19</f>
        <v>67.75</v>
      </c>
      <c r="F11" s="53">
        <f>D11-E11</f>
        <v>203.25</v>
      </c>
      <c r="G11" t="s">
        <v>592</v>
      </c>
    </row>
    <row r="12" spans="2:13">
      <c r="B12" t="s">
        <v>145</v>
      </c>
      <c r="C12" s="22" t="s">
        <v>144</v>
      </c>
      <c r="D12" s="52">
        <f>AVERAGE(155,184)</f>
        <v>169.5</v>
      </c>
      <c r="E12" s="53">
        <f t="shared" ref="E12:E13" si="3">D12*$C$19</f>
        <v>42.375</v>
      </c>
      <c r="F12" s="53">
        <f t="shared" ref="F12:F16" si="4">D12-E12</f>
        <v>127.125</v>
      </c>
      <c r="G12" t="s">
        <v>592</v>
      </c>
    </row>
    <row r="13" spans="2:13">
      <c r="B13" t="s">
        <v>146</v>
      </c>
      <c r="C13" s="22" t="s">
        <v>144</v>
      </c>
      <c r="D13" s="52">
        <v>79</v>
      </c>
      <c r="E13" s="53">
        <f t="shared" si="3"/>
        <v>19.75</v>
      </c>
      <c r="F13" s="53">
        <f t="shared" si="4"/>
        <v>59.25</v>
      </c>
      <c r="G13" t="s">
        <v>592</v>
      </c>
    </row>
    <row r="14" spans="2:13">
      <c r="B14" t="s">
        <v>147</v>
      </c>
      <c r="C14" s="22" t="s">
        <v>148</v>
      </c>
      <c r="D14" s="52">
        <v>88</v>
      </c>
      <c r="E14" s="53">
        <f>D14*$C$20</f>
        <v>4.4000000000000004</v>
      </c>
      <c r="F14" s="53">
        <f t="shared" si="4"/>
        <v>83.6</v>
      </c>
      <c r="G14" t="s">
        <v>592</v>
      </c>
    </row>
    <row r="15" spans="2:13">
      <c r="B15" t="s">
        <v>450</v>
      </c>
      <c r="C15" s="22"/>
      <c r="D15" s="52">
        <v>9</v>
      </c>
      <c r="E15" s="53">
        <f>D15*$C$20</f>
        <v>0.45</v>
      </c>
      <c r="F15" s="53">
        <f t="shared" si="4"/>
        <v>8.5500000000000007</v>
      </c>
      <c r="G15" t="s">
        <v>592</v>
      </c>
      <c r="M15" s="14"/>
    </row>
    <row r="16" spans="2:13">
      <c r="B16" t="s">
        <v>452</v>
      </c>
      <c r="D16" s="52">
        <f>AVERAGE(D15,D17)</f>
        <v>100</v>
      </c>
      <c r="E16" s="53">
        <f>D16*$C$20</f>
        <v>5</v>
      </c>
      <c r="F16" s="53">
        <f t="shared" si="4"/>
        <v>95</v>
      </c>
      <c r="G16" t="s">
        <v>593</v>
      </c>
    </row>
    <row r="17" spans="2:7">
      <c r="B17" t="s">
        <v>451</v>
      </c>
      <c r="C17" s="22"/>
      <c r="D17" s="52">
        <v>191</v>
      </c>
      <c r="E17" s="53">
        <f>D17*$C$20</f>
        <v>9.5500000000000007</v>
      </c>
      <c r="F17" s="53">
        <f t="shared" ref="F17" si="5">D17-E17</f>
        <v>181.45</v>
      </c>
      <c r="G17" t="s">
        <v>592</v>
      </c>
    </row>
    <row r="19" spans="2:7">
      <c r="B19" t="s">
        <v>571</v>
      </c>
      <c r="C19" s="15">
        <f>HRF!L11</f>
        <v>0.25</v>
      </c>
    </row>
    <row r="20" spans="2:7">
      <c r="B20" t="s">
        <v>572</v>
      </c>
      <c r="C20" s="15">
        <f>HRF!L13</f>
        <v>0.05</v>
      </c>
    </row>
    <row r="21" spans="2:7">
      <c r="C21" s="15"/>
    </row>
    <row r="23" spans="2:7">
      <c r="B23" s="14" t="s">
        <v>435</v>
      </c>
    </row>
    <row r="24" spans="2:7">
      <c r="B24" s="14" t="s">
        <v>454</v>
      </c>
    </row>
    <row r="25" spans="2:7">
      <c r="B25" t="s">
        <v>442</v>
      </c>
      <c r="C25">
        <v>251</v>
      </c>
    </row>
    <row r="26" spans="2:7">
      <c r="B26" t="s">
        <v>436</v>
      </c>
      <c r="C26">
        <v>155</v>
      </c>
      <c r="D26" t="s">
        <v>440</v>
      </c>
      <c r="E26">
        <f>C26/(SUM($C$26:$C$28))*F11</f>
        <v>75.912650602409641</v>
      </c>
      <c r="F26" t="s">
        <v>441</v>
      </c>
    </row>
    <row r="27" spans="2:7">
      <c r="B27" t="s">
        <v>437</v>
      </c>
      <c r="C27">
        <v>113</v>
      </c>
      <c r="D27" t="s">
        <v>440</v>
      </c>
      <c r="E27">
        <f>C27/(SUM($C$26:$C$28))*F13</f>
        <v>16.133132530120484</v>
      </c>
    </row>
    <row r="28" spans="2:7">
      <c r="B28" t="s">
        <v>438</v>
      </c>
      <c r="C28">
        <f>105+42</f>
        <v>147</v>
      </c>
      <c r="D28" t="s">
        <v>440</v>
      </c>
      <c r="E28">
        <f>C28/(SUM($C$26:$C$28))*F12</f>
        <v>45.02981927710843</v>
      </c>
    </row>
    <row r="29" spans="2:7">
      <c r="B29" t="s">
        <v>439</v>
      </c>
      <c r="C29">
        <f>SUM(C26:C28)</f>
        <v>415</v>
      </c>
      <c r="D29" t="s">
        <v>440</v>
      </c>
      <c r="E29">
        <f>SUM(E26:E28)</f>
        <v>137.07560240963855</v>
      </c>
      <c r="F29" t="s">
        <v>443</v>
      </c>
    </row>
    <row r="30" spans="2:7">
      <c r="B30" s="14" t="s">
        <v>455</v>
      </c>
      <c r="E30" s="52">
        <f>C29/$C$25*E29</f>
        <v>226.63894422310759</v>
      </c>
      <c r="F30" t="s">
        <v>444</v>
      </c>
    </row>
    <row r="31" spans="2:7">
      <c r="B31" t="s">
        <v>445</v>
      </c>
      <c r="C31">
        <v>206</v>
      </c>
      <c r="D31" t="s">
        <v>440</v>
      </c>
      <c r="E31">
        <f>C31/(SUM($C$31:$C$33))*F15</f>
        <v>5.1052173913043486</v>
      </c>
    </row>
    <row r="32" spans="2:7">
      <c r="B32" t="s">
        <v>453</v>
      </c>
      <c r="C32">
        <v>22</v>
      </c>
      <c r="D32" t="s">
        <v>440</v>
      </c>
      <c r="E32">
        <f>C32/(SUM($C$31:$C$33))*F16</f>
        <v>6.057971014492753</v>
      </c>
    </row>
    <row r="33" spans="2:6">
      <c r="B33" t="s">
        <v>446</v>
      </c>
      <c r="C33">
        <v>117</v>
      </c>
      <c r="D33" t="s">
        <v>440</v>
      </c>
      <c r="E33">
        <f>C33/(SUM($C$31:$C$33))*F17</f>
        <v>61.535217391304343</v>
      </c>
    </row>
    <row r="34" spans="2:6">
      <c r="C34">
        <f>SUM(C31:C33)</f>
        <v>345</v>
      </c>
      <c r="D34" t="s">
        <v>440</v>
      </c>
      <c r="E34">
        <f>SUM(E31:E33)</f>
        <v>72.698405797101444</v>
      </c>
      <c r="F34" t="s">
        <v>443</v>
      </c>
    </row>
    <row r="35" spans="2:6">
      <c r="E35" s="52">
        <f>C34/$C$25*E34</f>
        <v>99.924103585657349</v>
      </c>
      <c r="F35" t="s">
        <v>444</v>
      </c>
    </row>
    <row r="36" spans="2:6">
      <c r="B36" s="14" t="s">
        <v>147</v>
      </c>
      <c r="E36" s="52"/>
    </row>
    <row r="37" spans="2:6">
      <c r="B37" t="s">
        <v>147</v>
      </c>
      <c r="C37">
        <v>112</v>
      </c>
      <c r="D37" t="s">
        <v>440</v>
      </c>
    </row>
    <row r="39" spans="2:6">
      <c r="B39" t="s">
        <v>431</v>
      </c>
    </row>
    <row r="40" spans="2:6">
      <c r="B40" t="s">
        <v>432</v>
      </c>
      <c r="C40" s="71">
        <v>8.9999999999999993E-3</v>
      </c>
    </row>
    <row r="41" spans="2:6">
      <c r="B41" t="s">
        <v>433</v>
      </c>
      <c r="C41" s="71">
        <v>0.121</v>
      </c>
      <c r="D41" t="s">
        <v>449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3:I33"/>
  <sheetViews>
    <sheetView workbookViewId="0">
      <selection activeCell="B31" sqref="B31:B33"/>
    </sheetView>
  </sheetViews>
  <sheetFormatPr defaultRowHeight="15"/>
  <cols>
    <col min="2" max="2" width="20.42578125" customWidth="1"/>
    <col min="6" max="6" width="10.85546875" customWidth="1"/>
    <col min="7" max="7" width="11.5703125" customWidth="1"/>
    <col min="8" max="8" width="47" customWidth="1"/>
  </cols>
  <sheetData>
    <row r="3" spans="2:9" ht="60">
      <c r="B3" s="3"/>
      <c r="C3" s="4" t="s">
        <v>286</v>
      </c>
      <c r="D3" s="4" t="s">
        <v>510</v>
      </c>
    </row>
    <row r="4" spans="2:9">
      <c r="B4" s="5" t="s">
        <v>28</v>
      </c>
      <c r="C4" s="11">
        <f>'EST HOME ANALYTICS'!K18</f>
        <v>36315</v>
      </c>
      <c r="D4" s="56">
        <f>C4*$C$33/1000000</f>
        <v>1.5627533201354595</v>
      </c>
    </row>
    <row r="5" spans="2:9">
      <c r="B5" s="5" t="s">
        <v>29</v>
      </c>
      <c r="C5" s="11">
        <f>'EST HOME ANALYTICS'!K19</f>
        <v>21634</v>
      </c>
      <c r="D5" s="56">
        <f t="shared" ref="D5:D7" si="0">C5*$C$33/1000000</f>
        <v>0.93098183471872598</v>
      </c>
    </row>
    <row r="6" spans="2:9">
      <c r="B6" s="5" t="s">
        <v>30</v>
      </c>
      <c r="C6" s="11">
        <f>'EST HOME ANALYTICS'!K20</f>
        <v>12602</v>
      </c>
      <c r="D6" s="56">
        <f t="shared" si="0"/>
        <v>0.54230531021195261</v>
      </c>
    </row>
    <row r="7" spans="2:9">
      <c r="B7" s="8" t="s">
        <v>31</v>
      </c>
      <c r="C7" s="11">
        <f>'EST HOME ANALYTICS'!K21</f>
        <v>63364</v>
      </c>
      <c r="D7" s="56">
        <f t="shared" si="0"/>
        <v>2.7267603298103609</v>
      </c>
    </row>
    <row r="9" spans="2:9">
      <c r="B9" s="18" t="s">
        <v>261</v>
      </c>
    </row>
    <row r="10" spans="2:9">
      <c r="B10" t="s">
        <v>481</v>
      </c>
    </row>
    <row r="11" spans="2:9">
      <c r="B11" t="s">
        <v>482</v>
      </c>
      <c r="C11">
        <v>251</v>
      </c>
    </row>
    <row r="12" spans="2:9">
      <c r="B12" s="75" t="s">
        <v>141</v>
      </c>
      <c r="C12" t="s">
        <v>143</v>
      </c>
      <c r="D12" t="s">
        <v>499</v>
      </c>
      <c r="E12" t="s">
        <v>377</v>
      </c>
      <c r="F12" t="s">
        <v>500</v>
      </c>
      <c r="G12" t="s">
        <v>501</v>
      </c>
      <c r="H12" t="s">
        <v>372</v>
      </c>
      <c r="I12" t="s">
        <v>502</v>
      </c>
    </row>
    <row r="13" spans="2:9">
      <c r="B13" t="s">
        <v>483</v>
      </c>
      <c r="C13">
        <v>290</v>
      </c>
      <c r="D13">
        <v>53</v>
      </c>
      <c r="E13" s="23">
        <f>D13/$C$11</f>
        <v>0.21115537848605578</v>
      </c>
      <c r="F13" s="52">
        <f>C13*E13</f>
        <v>61.235059760956176</v>
      </c>
      <c r="G13" s="15">
        <v>0.25</v>
      </c>
      <c r="H13" t="s">
        <v>504</v>
      </c>
      <c r="I13" s="52">
        <f>F13*(1-G13)</f>
        <v>45.926294820717132</v>
      </c>
    </row>
    <row r="14" spans="2:9">
      <c r="B14" t="s">
        <v>484</v>
      </c>
      <c r="C14">
        <v>317</v>
      </c>
      <c r="D14">
        <v>158</v>
      </c>
      <c r="E14" s="23">
        <f t="shared" ref="E14:E27" si="1">D14/$C$11</f>
        <v>0.62948207171314741</v>
      </c>
      <c r="F14" s="52">
        <f t="shared" ref="F14:F27" si="2">C14*E14</f>
        <v>199.54581673306774</v>
      </c>
      <c r="H14" t="s">
        <v>509</v>
      </c>
      <c r="I14" s="52">
        <f>F14*(1-G14)+(I15-F15)</f>
        <v>196.57450199203188</v>
      </c>
    </row>
    <row r="15" spans="2:9">
      <c r="B15" t="s">
        <v>485</v>
      </c>
      <c r="C15">
        <v>226</v>
      </c>
      <c r="D15">
        <v>11</v>
      </c>
      <c r="E15" s="23">
        <f t="shared" si="1"/>
        <v>4.3824701195219126E-2</v>
      </c>
      <c r="F15" s="52">
        <f t="shared" si="2"/>
        <v>9.904382470119522</v>
      </c>
      <c r="G15" s="15">
        <v>0.3</v>
      </c>
      <c r="H15" t="s">
        <v>505</v>
      </c>
      <c r="I15" s="52">
        <f t="shared" ref="I15:I27" si="3">F15*(1-G15)</f>
        <v>6.9330677290836649</v>
      </c>
    </row>
    <row r="16" spans="2:9">
      <c r="B16" t="s">
        <v>486</v>
      </c>
      <c r="C16">
        <v>56</v>
      </c>
      <c r="D16">
        <v>219</v>
      </c>
      <c r="E16" s="23">
        <f t="shared" si="1"/>
        <v>0.87250996015936255</v>
      </c>
      <c r="F16" s="52">
        <f t="shared" si="2"/>
        <v>48.860557768924302</v>
      </c>
      <c r="G16" s="15">
        <v>-0.25</v>
      </c>
      <c r="H16" t="s">
        <v>504</v>
      </c>
      <c r="I16" s="52">
        <f t="shared" si="3"/>
        <v>61.075697211155379</v>
      </c>
    </row>
    <row r="17" spans="2:9">
      <c r="B17" t="s">
        <v>487</v>
      </c>
      <c r="C17">
        <v>167</v>
      </c>
      <c r="D17">
        <v>243</v>
      </c>
      <c r="E17" s="23">
        <f t="shared" si="1"/>
        <v>0.96812749003984067</v>
      </c>
      <c r="F17" s="52">
        <f t="shared" si="2"/>
        <v>161.67729083665338</v>
      </c>
      <c r="G17" s="15">
        <f>50% *2/3*(1-0.2)</f>
        <v>0.26666666666666666</v>
      </c>
      <c r="H17" t="s">
        <v>506</v>
      </c>
      <c r="I17" s="52">
        <f t="shared" si="3"/>
        <v>118.56334661354582</v>
      </c>
    </row>
    <row r="18" spans="2:9">
      <c r="B18" t="s">
        <v>488</v>
      </c>
      <c r="C18">
        <v>27.2</v>
      </c>
      <c r="D18">
        <v>1</v>
      </c>
      <c r="E18" s="23">
        <f t="shared" si="1"/>
        <v>3.9840637450199202E-3</v>
      </c>
      <c r="F18" s="52">
        <f t="shared" si="2"/>
        <v>0.10836653386454183</v>
      </c>
      <c r="G18" s="15">
        <v>0</v>
      </c>
      <c r="H18" t="s">
        <v>507</v>
      </c>
      <c r="I18" s="52">
        <f t="shared" si="3"/>
        <v>0.10836653386454183</v>
      </c>
    </row>
    <row r="19" spans="2:9">
      <c r="B19" t="s">
        <v>489</v>
      </c>
      <c r="C19">
        <v>23.6</v>
      </c>
      <c r="D19">
        <v>13</v>
      </c>
      <c r="E19" s="23">
        <f t="shared" si="1"/>
        <v>5.1792828685258967E-2</v>
      </c>
      <c r="F19" s="52">
        <f t="shared" si="2"/>
        <v>1.2223107569721117</v>
      </c>
      <c r="G19" s="15">
        <v>0</v>
      </c>
      <c r="H19" t="s">
        <v>507</v>
      </c>
      <c r="I19" s="52">
        <f t="shared" si="3"/>
        <v>1.2223107569721117</v>
      </c>
    </row>
    <row r="20" spans="2:9">
      <c r="B20" t="s">
        <v>490</v>
      </c>
      <c r="C20">
        <v>31.8</v>
      </c>
      <c r="D20">
        <v>13</v>
      </c>
      <c r="E20" s="23">
        <f t="shared" si="1"/>
        <v>5.1792828685258967E-2</v>
      </c>
      <c r="F20" s="52">
        <f t="shared" si="2"/>
        <v>1.6470119521912352</v>
      </c>
      <c r="G20" s="15">
        <v>0.2</v>
      </c>
      <c r="H20" t="s">
        <v>508</v>
      </c>
      <c r="I20" s="52">
        <f t="shared" si="3"/>
        <v>1.3176095617529882</v>
      </c>
    </row>
    <row r="21" spans="2:9">
      <c r="B21" t="s">
        <v>491</v>
      </c>
      <c r="C21">
        <v>11.7</v>
      </c>
      <c r="D21">
        <v>42</v>
      </c>
      <c r="E21" s="23">
        <f t="shared" si="1"/>
        <v>0.16733067729083664</v>
      </c>
      <c r="F21" s="52">
        <f t="shared" si="2"/>
        <v>1.9577689243027887</v>
      </c>
      <c r="G21" s="15">
        <v>0</v>
      </c>
      <c r="H21" t="s">
        <v>507</v>
      </c>
      <c r="I21" s="52">
        <f t="shared" si="3"/>
        <v>1.9577689243027887</v>
      </c>
    </row>
    <row r="22" spans="2:9">
      <c r="B22" t="s">
        <v>492</v>
      </c>
      <c r="C22">
        <v>0.5</v>
      </c>
      <c r="D22">
        <v>5</v>
      </c>
      <c r="E22" s="23">
        <f t="shared" si="1"/>
        <v>1.9920318725099601E-2</v>
      </c>
      <c r="F22" s="52">
        <f t="shared" si="2"/>
        <v>9.9601593625498006E-3</v>
      </c>
      <c r="G22" s="15">
        <v>0</v>
      </c>
      <c r="H22" t="s">
        <v>507</v>
      </c>
      <c r="I22" s="52">
        <f t="shared" si="3"/>
        <v>9.9601593625498006E-3</v>
      </c>
    </row>
    <row r="23" spans="2:9">
      <c r="B23" t="s">
        <v>493</v>
      </c>
      <c r="C23">
        <v>52.7</v>
      </c>
      <c r="D23">
        <v>2</v>
      </c>
      <c r="E23" s="23">
        <f t="shared" si="1"/>
        <v>7.9681274900398405E-3</v>
      </c>
      <c r="F23" s="52">
        <f t="shared" si="2"/>
        <v>0.41992031872509961</v>
      </c>
      <c r="G23" s="15">
        <v>0</v>
      </c>
      <c r="H23" t="s">
        <v>507</v>
      </c>
      <c r="I23" s="52">
        <f t="shared" si="3"/>
        <v>0.41992031872509961</v>
      </c>
    </row>
    <row r="24" spans="2:9">
      <c r="B24" t="s">
        <v>494</v>
      </c>
      <c r="C24">
        <v>52</v>
      </c>
      <c r="D24">
        <v>4</v>
      </c>
      <c r="E24" s="23">
        <f t="shared" si="1"/>
        <v>1.5936254980079681E-2</v>
      </c>
      <c r="F24" s="52">
        <f t="shared" si="2"/>
        <v>0.82868525896414336</v>
      </c>
      <c r="G24" s="15">
        <v>0</v>
      </c>
      <c r="H24" t="s">
        <v>507</v>
      </c>
      <c r="I24" s="52">
        <f t="shared" si="3"/>
        <v>0.82868525896414336</v>
      </c>
    </row>
    <row r="25" spans="2:9">
      <c r="B25" t="s">
        <v>495</v>
      </c>
      <c r="C25">
        <v>12.8</v>
      </c>
      <c r="D25">
        <v>5</v>
      </c>
      <c r="E25" s="23">
        <f t="shared" si="1"/>
        <v>1.9920318725099601E-2</v>
      </c>
      <c r="F25" s="52">
        <f t="shared" si="2"/>
        <v>0.2549800796812749</v>
      </c>
      <c r="G25" s="15">
        <v>0</v>
      </c>
      <c r="H25" t="s">
        <v>507</v>
      </c>
      <c r="I25" s="52">
        <f t="shared" si="3"/>
        <v>0.2549800796812749</v>
      </c>
    </row>
    <row r="26" spans="2:9">
      <c r="B26" t="s">
        <v>496</v>
      </c>
      <c r="C26">
        <v>21.9</v>
      </c>
      <c r="D26">
        <v>68</v>
      </c>
      <c r="E26" s="23">
        <f t="shared" si="1"/>
        <v>0.27091633466135456</v>
      </c>
      <c r="F26" s="52">
        <f t="shared" si="2"/>
        <v>5.9330677290836649</v>
      </c>
      <c r="G26" s="15">
        <v>0</v>
      </c>
      <c r="H26" t="s">
        <v>507</v>
      </c>
      <c r="I26" s="52">
        <f t="shared" si="3"/>
        <v>5.9330677290836649</v>
      </c>
    </row>
    <row r="27" spans="2:9">
      <c r="B27" t="s">
        <v>497</v>
      </c>
      <c r="C27">
        <v>8</v>
      </c>
      <c r="D27">
        <v>1</v>
      </c>
      <c r="E27" s="23">
        <f t="shared" si="1"/>
        <v>3.9840637450199202E-3</v>
      </c>
      <c r="F27" s="52">
        <f t="shared" si="2"/>
        <v>3.1872509960159362E-2</v>
      </c>
      <c r="G27" s="15">
        <v>0</v>
      </c>
      <c r="H27" t="s">
        <v>507</v>
      </c>
      <c r="I27" s="52">
        <f t="shared" si="3"/>
        <v>3.1872509960159362E-2</v>
      </c>
    </row>
    <row r="28" spans="2:9">
      <c r="E28" t="s">
        <v>503</v>
      </c>
      <c r="F28" s="52">
        <f>SUM(F13:F27)</f>
        <v>493.63705179282874</v>
      </c>
      <c r="H28" t="s">
        <v>503</v>
      </c>
      <c r="I28" s="52">
        <f>SUM(I13:I27)</f>
        <v>441.1574501992032</v>
      </c>
    </row>
    <row r="30" spans="2:9">
      <c r="B30" t="s">
        <v>573</v>
      </c>
      <c r="C30" s="15">
        <f>HRF!L12</f>
        <v>0.18</v>
      </c>
    </row>
    <row r="31" spans="2:9">
      <c r="B31" t="s">
        <v>574</v>
      </c>
      <c r="C31" s="52">
        <f>F28-I28</f>
        <v>52.479601593625546</v>
      </c>
    </row>
    <row r="32" spans="2:9">
      <c r="B32" t="s">
        <v>575</v>
      </c>
      <c r="C32" s="52">
        <f>C31*C30</f>
        <v>9.446328286852598</v>
      </c>
    </row>
    <row r="33" spans="2:3">
      <c r="B33" t="s">
        <v>576</v>
      </c>
      <c r="C33" s="52">
        <f>C31-C32</f>
        <v>43.033273306772948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B2:N52"/>
  <sheetViews>
    <sheetView topLeftCell="A15" workbookViewId="0">
      <selection activeCell="B52" sqref="B52"/>
    </sheetView>
  </sheetViews>
  <sheetFormatPr defaultRowHeight="15"/>
  <cols>
    <col min="2" max="2" width="20.42578125" customWidth="1"/>
    <col min="6" max="6" width="10.85546875" customWidth="1"/>
    <col min="7" max="7" width="11.5703125" customWidth="1"/>
    <col min="8" max="8" width="47" customWidth="1"/>
  </cols>
  <sheetData>
    <row r="2" spans="2:14">
      <c r="M2" t="s">
        <v>511</v>
      </c>
      <c r="N2">
        <v>245</v>
      </c>
    </row>
    <row r="3" spans="2:14" ht="60">
      <c r="B3" s="3"/>
      <c r="C3" s="4" t="s">
        <v>286</v>
      </c>
      <c r="D3" s="4" t="s">
        <v>544</v>
      </c>
    </row>
    <row r="4" spans="2:14">
      <c r="B4" s="5" t="s">
        <v>28</v>
      </c>
      <c r="C4" s="11">
        <f>'EST HOME ANALYTICS'!K18</f>
        <v>36315</v>
      </c>
      <c r="D4" s="56">
        <f>C4*$I$20/1000000</f>
        <v>3.7016726068320924</v>
      </c>
      <c r="M4" t="s">
        <v>512</v>
      </c>
      <c r="N4">
        <v>374</v>
      </c>
    </row>
    <row r="5" spans="2:14">
      <c r="B5" s="5" t="s">
        <v>29</v>
      </c>
      <c r="C5" s="11">
        <f>'EST HOME ANALYTICS'!K19</f>
        <v>21634</v>
      </c>
      <c r="D5" s="56">
        <f t="shared" ref="D5:D7" si="0">C5*$I$20/1000000</f>
        <v>2.2052040527662258</v>
      </c>
      <c r="M5" t="s">
        <v>498</v>
      </c>
      <c r="N5">
        <v>387</v>
      </c>
    </row>
    <row r="6" spans="2:14">
      <c r="B6" s="5" t="s">
        <v>30</v>
      </c>
      <c r="C6" s="11">
        <f>'EST HOME ANALYTICS'!K20</f>
        <v>12602</v>
      </c>
      <c r="D6" s="56">
        <f t="shared" si="0"/>
        <v>1.2845512375409067</v>
      </c>
      <c r="M6" t="s">
        <v>513</v>
      </c>
      <c r="N6">
        <v>394</v>
      </c>
    </row>
    <row r="7" spans="2:14">
      <c r="B7" s="8" t="s">
        <v>31</v>
      </c>
      <c r="C7" s="11">
        <f>'EST HOME ANALYTICS'!K21</f>
        <v>63364</v>
      </c>
      <c r="D7" s="56">
        <f t="shared" si="0"/>
        <v>6.4588402329425501</v>
      </c>
      <c r="M7" t="s">
        <v>480</v>
      </c>
      <c r="N7">
        <v>395</v>
      </c>
    </row>
    <row r="8" spans="2:14">
      <c r="M8" t="s">
        <v>408</v>
      </c>
      <c r="N8">
        <v>398</v>
      </c>
    </row>
    <row r="9" spans="2:14">
      <c r="B9" s="18" t="s">
        <v>261</v>
      </c>
    </row>
    <row r="10" spans="2:14">
      <c r="B10" t="s">
        <v>481</v>
      </c>
    </row>
    <row r="11" spans="2:14">
      <c r="B11" t="s">
        <v>482</v>
      </c>
      <c r="C11">
        <v>251</v>
      </c>
    </row>
    <row r="12" spans="2:14">
      <c r="B12" s="75" t="s">
        <v>141</v>
      </c>
      <c r="C12" t="s">
        <v>143</v>
      </c>
      <c r="D12" t="s">
        <v>499</v>
      </c>
      <c r="E12" t="s">
        <v>377</v>
      </c>
      <c r="F12" t="s">
        <v>500</v>
      </c>
      <c r="G12" t="s">
        <v>501</v>
      </c>
      <c r="H12" t="s">
        <v>372</v>
      </c>
      <c r="I12" t="s">
        <v>502</v>
      </c>
      <c r="J12" t="s">
        <v>427</v>
      </c>
    </row>
    <row r="13" spans="2:14">
      <c r="B13" t="s">
        <v>514</v>
      </c>
      <c r="C13">
        <v>553</v>
      </c>
      <c r="D13">
        <f>C38</f>
        <v>244</v>
      </c>
      <c r="E13" s="23">
        <f>D13/$C$11</f>
        <v>0.97211155378486058</v>
      </c>
      <c r="F13" s="52">
        <f>C13*E13</f>
        <v>537.57768924302786</v>
      </c>
      <c r="G13" s="15">
        <f>K25</f>
        <v>0.16266486303686165</v>
      </c>
      <c r="H13" t="s">
        <v>545</v>
      </c>
      <c r="I13" s="52">
        <f>F13*(1-G13)</f>
        <v>450.13268805063814</v>
      </c>
      <c r="J13" s="52">
        <f>F13-I13</f>
        <v>87.445001192389725</v>
      </c>
    </row>
    <row r="14" spans="2:14">
      <c r="B14" t="s">
        <v>537</v>
      </c>
      <c r="C14" s="52">
        <f>I26</f>
        <v>88.624043999999998</v>
      </c>
      <c r="D14" s="17">
        <f>D43</f>
        <v>125.1</v>
      </c>
      <c r="E14" s="23">
        <f t="shared" ref="E14:E16" si="1">D14/$C$11</f>
        <v>0.49840637450199199</v>
      </c>
      <c r="F14" s="52">
        <f t="shared" ref="F14:F16" si="2">C14*E14</f>
        <v>44.170788463745012</v>
      </c>
      <c r="G14" s="15">
        <f>-(I29-J26)/I26</f>
        <v>9.4979687453666334E-2</v>
      </c>
      <c r="H14" t="s">
        <v>546</v>
      </c>
      <c r="I14" s="52">
        <f>F14*(1-G14)</f>
        <v>39.975460780876496</v>
      </c>
      <c r="J14" s="52">
        <f t="shared" ref="J14:J17" si="3">F14-I14</f>
        <v>4.1953276828685162</v>
      </c>
    </row>
    <row r="15" spans="2:14">
      <c r="B15" t="s">
        <v>538</v>
      </c>
      <c r="C15" s="52">
        <f t="shared" ref="C15:C16" si="4">I27</f>
        <v>195.833304</v>
      </c>
      <c r="D15" s="17">
        <f t="shared" ref="D15:D16" si="5">D44</f>
        <v>269.65999999999997</v>
      </c>
      <c r="E15" s="23">
        <f t="shared" si="1"/>
        <v>1.0743426294820715</v>
      </c>
      <c r="F15" s="52">
        <f t="shared" si="2"/>
        <v>210.39206675952187</v>
      </c>
      <c r="G15" s="15">
        <f>-(J27-I27)/I27</f>
        <v>7.3941866394696262E-3</v>
      </c>
      <c r="H15" t="s">
        <v>548</v>
      </c>
      <c r="I15" s="52">
        <f t="shared" ref="I15:I16" si="6">F15*(1-G15)</f>
        <v>208.83638855043819</v>
      </c>
      <c r="J15" s="52">
        <f t="shared" si="3"/>
        <v>1.5556782090836805</v>
      </c>
    </row>
    <row r="16" spans="2:14">
      <c r="B16" t="s">
        <v>539</v>
      </c>
      <c r="C16" s="52">
        <f t="shared" si="4"/>
        <v>501.30676800000003</v>
      </c>
      <c r="D16" s="17">
        <f t="shared" si="5"/>
        <v>22.240000000000002</v>
      </c>
      <c r="E16" s="23">
        <f t="shared" si="1"/>
        <v>8.8605577689243042E-2</v>
      </c>
      <c r="F16" s="52">
        <f t="shared" si="2"/>
        <v>44.418575778167344</v>
      </c>
      <c r="G16" s="15">
        <f>-(J29-I28)/I28</f>
        <v>0.84393675690410785</v>
      </c>
      <c r="H16" t="s">
        <v>547</v>
      </c>
      <c r="I16" s="52">
        <f t="shared" si="6"/>
        <v>6.9321069896414373</v>
      </c>
      <c r="J16" s="52">
        <f t="shared" si="3"/>
        <v>37.486468788525904</v>
      </c>
    </row>
    <row r="17" spans="2:12">
      <c r="E17" t="s">
        <v>503</v>
      </c>
      <c r="F17" s="52">
        <f>SUM(F13:F16)</f>
        <v>836.55912024446206</v>
      </c>
      <c r="H17" t="s">
        <v>503</v>
      </c>
      <c r="I17" s="52">
        <f>SUM(I13:I16)</f>
        <v>705.87664437159424</v>
      </c>
      <c r="J17" s="52">
        <f t="shared" si="3"/>
        <v>130.68247587286783</v>
      </c>
    </row>
    <row r="18" spans="2:12">
      <c r="H18" t="s">
        <v>574</v>
      </c>
      <c r="I18" s="52">
        <f>F17-I17</f>
        <v>130.68247587286783</v>
      </c>
      <c r="J18" s="52"/>
    </row>
    <row r="19" spans="2:12">
      <c r="H19" t="s">
        <v>575</v>
      </c>
      <c r="I19" s="52">
        <f>I18*C48</f>
        <v>28.750144692030922</v>
      </c>
    </row>
    <row r="20" spans="2:12">
      <c r="H20" t="s">
        <v>576</v>
      </c>
      <c r="I20" s="52">
        <f>I18-I19</f>
        <v>101.93233118083691</v>
      </c>
    </row>
    <row r="21" spans="2:12">
      <c r="B21" s="19"/>
    </row>
    <row r="23" spans="2:12">
      <c r="B23" s="14" t="s">
        <v>515</v>
      </c>
      <c r="C23" t="s">
        <v>517</v>
      </c>
      <c r="D23" t="s">
        <v>517</v>
      </c>
      <c r="E23" t="s">
        <v>517</v>
      </c>
      <c r="F23" t="s">
        <v>518</v>
      </c>
      <c r="G23" t="s">
        <v>518</v>
      </c>
      <c r="H23" t="s">
        <v>518</v>
      </c>
    </row>
    <row r="24" spans="2:12">
      <c r="B24" t="s">
        <v>516</v>
      </c>
      <c r="C24" t="s">
        <v>519</v>
      </c>
      <c r="D24" t="s">
        <v>520</v>
      </c>
      <c r="E24" t="s">
        <v>521</v>
      </c>
      <c r="F24" t="s">
        <v>519</v>
      </c>
      <c r="G24" t="s">
        <v>520</v>
      </c>
      <c r="H24" t="s">
        <v>521</v>
      </c>
      <c r="I24" t="s">
        <v>532</v>
      </c>
      <c r="J24" t="s">
        <v>533</v>
      </c>
    </row>
    <row r="25" spans="2:12">
      <c r="B25" t="s">
        <v>526</v>
      </c>
      <c r="C25">
        <v>123.8</v>
      </c>
      <c r="D25">
        <v>17.8</v>
      </c>
      <c r="E25">
        <v>0</v>
      </c>
      <c r="F25" s="76">
        <v>0.35599999999999998</v>
      </c>
      <c r="G25" s="76">
        <v>0.48099999999999998</v>
      </c>
      <c r="H25" s="76">
        <v>0.16200000000000001</v>
      </c>
      <c r="I25" s="52">
        <f>((C25*F25)+(D25*G25)+(E25*H25))*8760/1000</f>
        <v>461.07909599999988</v>
      </c>
      <c r="J25" s="52">
        <f>(C25*F25)*8760/1000</f>
        <v>386.07772799999992</v>
      </c>
      <c r="K25" s="70">
        <f>(I25-J25)/I25</f>
        <v>0.16266486303686165</v>
      </c>
    </row>
    <row r="26" spans="2:12">
      <c r="B26" t="s">
        <v>522</v>
      </c>
      <c r="C26">
        <v>57</v>
      </c>
      <c r="D26">
        <v>1.7</v>
      </c>
      <c r="E26">
        <v>0</v>
      </c>
      <c r="F26" s="76">
        <v>0.17399999999999999</v>
      </c>
      <c r="G26" s="76">
        <v>0.11700000000000001</v>
      </c>
      <c r="H26" s="76">
        <v>0.70899999999999996</v>
      </c>
      <c r="I26" s="52">
        <f t="shared" ref="I26:I28" si="7">((C26*F26)+(D26*G26)+(E26*H26))*8760/1000</f>
        <v>88.624043999999998</v>
      </c>
      <c r="J26" s="52">
        <f t="shared" ref="J26:J28" si="8">(C26*F26)*8760/1000</f>
        <v>86.881679999999989</v>
      </c>
      <c r="K26" s="70">
        <f t="shared" ref="K26:K28" si="9">(I26-J26)/I26</f>
        <v>1.9660172582510557E-2</v>
      </c>
    </row>
    <row r="27" spans="2:12">
      <c r="B27" t="s">
        <v>523</v>
      </c>
      <c r="C27">
        <v>96.9</v>
      </c>
      <c r="D27">
        <v>1.9</v>
      </c>
      <c r="E27">
        <v>0</v>
      </c>
      <c r="F27" s="76">
        <v>0.22900000000000001</v>
      </c>
      <c r="G27" s="76">
        <v>8.6999999999999994E-2</v>
      </c>
      <c r="H27" s="76">
        <v>0.68400000000000005</v>
      </c>
      <c r="I27" s="52">
        <f t="shared" si="7"/>
        <v>195.833304</v>
      </c>
      <c r="J27" s="52">
        <f t="shared" si="8"/>
        <v>194.385276</v>
      </c>
      <c r="K27" s="70">
        <f t="shared" si="9"/>
        <v>7.3941866394696262E-3</v>
      </c>
    </row>
    <row r="28" spans="2:12">
      <c r="B28" t="s">
        <v>524</v>
      </c>
      <c r="C28">
        <v>245.6</v>
      </c>
      <c r="D28">
        <v>0.5</v>
      </c>
      <c r="E28">
        <v>0</v>
      </c>
      <c r="F28" s="76">
        <v>0.23300000000000001</v>
      </c>
      <c r="G28" s="76">
        <v>4.0000000000000001E-3</v>
      </c>
      <c r="H28" s="76">
        <v>0.76300000000000001</v>
      </c>
      <c r="I28" s="52">
        <f t="shared" si="7"/>
        <v>501.30676800000003</v>
      </c>
      <c r="J28" s="52">
        <f t="shared" si="8"/>
        <v>501.28924800000004</v>
      </c>
      <c r="K28" s="70">
        <f t="shared" si="9"/>
        <v>3.4948660417827092E-5</v>
      </c>
    </row>
    <row r="29" spans="2:12">
      <c r="B29" t="s">
        <v>525</v>
      </c>
      <c r="C29">
        <v>39</v>
      </c>
      <c r="D29">
        <v>0.3</v>
      </c>
      <c r="E29">
        <v>0</v>
      </c>
      <c r="F29" s="76">
        <f>F27</f>
        <v>0.22900000000000001</v>
      </c>
      <c r="G29" s="76">
        <f t="shared" ref="G29:H29" si="10">G27</f>
        <v>8.6999999999999994E-2</v>
      </c>
      <c r="H29" s="76">
        <f t="shared" si="10"/>
        <v>0.68400000000000005</v>
      </c>
      <c r="I29" s="52">
        <f t="shared" ref="I29" si="11">((C29*F29)+(D29*G29)+(E29*H29))*8760/1000</f>
        <v>78.464196000000015</v>
      </c>
      <c r="J29" s="52">
        <f t="shared" ref="J29" si="12">(C29*F29)*8760/1000</f>
        <v>78.235560000000007</v>
      </c>
      <c r="K29" s="70">
        <f t="shared" ref="K29" si="13">(I29-J29)/I29</f>
        <v>2.9138895401414509E-3</v>
      </c>
      <c r="L29" t="s">
        <v>534</v>
      </c>
    </row>
    <row r="31" spans="2:12">
      <c r="B31" t="s">
        <v>535</v>
      </c>
      <c r="I31" t="s">
        <v>626</v>
      </c>
    </row>
    <row r="32" spans="2:12">
      <c r="B32" t="s">
        <v>536</v>
      </c>
      <c r="C32" t="s">
        <v>514</v>
      </c>
      <c r="D32" t="s">
        <v>537</v>
      </c>
      <c r="E32" t="s">
        <v>538</v>
      </c>
      <c r="F32" t="s">
        <v>539</v>
      </c>
    </row>
    <row r="33" spans="2:4">
      <c r="B33" t="s">
        <v>527</v>
      </c>
      <c r="C33">
        <v>33</v>
      </c>
    </row>
    <row r="34" spans="2:4">
      <c r="B34" t="s">
        <v>528</v>
      </c>
      <c r="C34">
        <v>34</v>
      </c>
    </row>
    <row r="35" spans="2:4">
      <c r="B35" t="s">
        <v>529</v>
      </c>
      <c r="C35">
        <v>28</v>
      </c>
    </row>
    <row r="36" spans="2:4">
      <c r="B36" t="s">
        <v>530</v>
      </c>
      <c r="C36">
        <v>76</v>
      </c>
    </row>
    <row r="37" spans="2:4">
      <c r="B37" t="s">
        <v>531</v>
      </c>
      <c r="C37">
        <v>73</v>
      </c>
    </row>
    <row r="38" spans="2:4">
      <c r="B38" t="s">
        <v>503</v>
      </c>
      <c r="C38">
        <f>SUM(C33:C37)</f>
        <v>244</v>
      </c>
    </row>
    <row r="40" spans="2:4">
      <c r="B40" t="s">
        <v>540</v>
      </c>
    </row>
    <row r="41" spans="2:4">
      <c r="B41" t="s">
        <v>541</v>
      </c>
      <c r="C41">
        <v>417</v>
      </c>
    </row>
    <row r="42" spans="2:4">
      <c r="C42" t="s">
        <v>542</v>
      </c>
      <c r="D42" t="s">
        <v>543</v>
      </c>
    </row>
    <row r="43" spans="2:4">
      <c r="B43" t="s">
        <v>522</v>
      </c>
      <c r="C43">
        <v>45</v>
      </c>
      <c r="D43">
        <f>C43/$C$46*$C$41</f>
        <v>125.1</v>
      </c>
    </row>
    <row r="44" spans="2:4">
      <c r="B44" t="s">
        <v>523</v>
      </c>
      <c r="C44">
        <v>97</v>
      </c>
      <c r="D44">
        <f t="shared" ref="D44:D46" si="14">C44/$C$46*$C$41</f>
        <v>269.65999999999997</v>
      </c>
    </row>
    <row r="45" spans="2:4">
      <c r="B45" t="s">
        <v>524</v>
      </c>
      <c r="C45">
        <v>8</v>
      </c>
      <c r="D45">
        <f t="shared" si="14"/>
        <v>22.240000000000002</v>
      </c>
    </row>
    <row r="46" spans="2:4">
      <c r="B46" t="s">
        <v>541</v>
      </c>
      <c r="C46">
        <f>SUM(C43:C45)</f>
        <v>150</v>
      </c>
      <c r="D46">
        <f t="shared" si="14"/>
        <v>417</v>
      </c>
    </row>
    <row r="48" spans="2:4">
      <c r="B48" t="s">
        <v>573</v>
      </c>
      <c r="C48" s="15">
        <f>HRF!L14</f>
        <v>0.22</v>
      </c>
    </row>
    <row r="50" spans="2:2">
      <c r="B50" s="14" t="s">
        <v>627</v>
      </c>
    </row>
    <row r="51" spans="2:2">
      <c r="B51">
        <f>F17*C7/1000000</f>
        <v>53.007732095170098</v>
      </c>
    </row>
    <row r="52" spans="2:2">
      <c r="B52">
        <f>B51*(1-C48)</f>
        <v>41.346031034232681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B3:K41"/>
  <sheetViews>
    <sheetView workbookViewId="0">
      <selection activeCell="B13" sqref="B13"/>
    </sheetView>
  </sheetViews>
  <sheetFormatPr defaultRowHeight="15"/>
  <cols>
    <col min="2" max="2" width="20.42578125" customWidth="1"/>
    <col min="6" max="6" width="10.85546875" customWidth="1"/>
    <col min="7" max="7" width="11.5703125" customWidth="1"/>
    <col min="8" max="8" width="47" customWidth="1"/>
  </cols>
  <sheetData>
    <row r="3" spans="2:9" ht="60">
      <c r="B3" s="3"/>
      <c r="C3" s="4" t="s">
        <v>286</v>
      </c>
      <c r="D3" s="4" t="s">
        <v>549</v>
      </c>
    </row>
    <row r="4" spans="2:9">
      <c r="B4" s="5" t="s">
        <v>28</v>
      </c>
      <c r="C4" s="11">
        <f>'EST HOME ANALYTICS'!K18</f>
        <v>36315</v>
      </c>
      <c r="D4" s="56">
        <f>C4*$I$19/1000000</f>
        <v>3.235044453069877</v>
      </c>
    </row>
    <row r="5" spans="2:9">
      <c r="B5" s="5" t="s">
        <v>29</v>
      </c>
      <c r="C5" s="11">
        <f>'EST HOME ANALYTICS'!K19</f>
        <v>21634</v>
      </c>
      <c r="D5" s="56">
        <f t="shared" ref="D5:D7" si="0">C5*$I$19/1000000</f>
        <v>1.927218826868063</v>
      </c>
    </row>
    <row r="6" spans="2:9">
      <c r="B6" s="5" t="s">
        <v>30</v>
      </c>
      <c r="C6" s="11">
        <f>'EST HOME ANALYTICS'!K20</f>
        <v>12602</v>
      </c>
      <c r="D6" s="56">
        <f t="shared" si="0"/>
        <v>1.1226223378104525</v>
      </c>
    </row>
    <row r="7" spans="2:9">
      <c r="B7" s="8" t="s">
        <v>31</v>
      </c>
      <c r="C7" s="11">
        <f>'EST HOME ANALYTICS'!K21</f>
        <v>63364</v>
      </c>
      <c r="D7" s="56">
        <f t="shared" si="0"/>
        <v>5.6446470253151499</v>
      </c>
    </row>
    <row r="9" spans="2:9">
      <c r="B9" s="18" t="s">
        <v>261</v>
      </c>
    </row>
    <row r="10" spans="2:9">
      <c r="B10" t="s">
        <v>481</v>
      </c>
    </row>
    <row r="11" spans="2:9">
      <c r="B11" t="s">
        <v>482</v>
      </c>
      <c r="C11">
        <v>251</v>
      </c>
    </row>
    <row r="12" spans="2:9">
      <c r="B12" s="75" t="s">
        <v>141</v>
      </c>
      <c r="C12" t="s">
        <v>143</v>
      </c>
      <c r="D12" t="s">
        <v>499</v>
      </c>
      <c r="E12" t="s">
        <v>377</v>
      </c>
      <c r="F12" t="s">
        <v>500</v>
      </c>
      <c r="G12" t="s">
        <v>501</v>
      </c>
      <c r="H12" t="s">
        <v>372</v>
      </c>
      <c r="I12" t="s">
        <v>502</v>
      </c>
    </row>
    <row r="13" spans="2:9">
      <c r="B13" t="s">
        <v>560</v>
      </c>
      <c r="C13">
        <f>C24</f>
        <v>240</v>
      </c>
      <c r="D13">
        <f>C35</f>
        <v>215</v>
      </c>
      <c r="E13" s="23">
        <f>D13/$C$11</f>
        <v>0.85657370517928288</v>
      </c>
      <c r="F13" s="52">
        <f>C13*E13</f>
        <v>205.57768924302789</v>
      </c>
      <c r="G13" s="15">
        <f>-K23</f>
        <v>0.23684546195446207</v>
      </c>
      <c r="H13" t="s">
        <v>561</v>
      </c>
      <c r="I13" s="52">
        <f>F13*(1-G13)</f>
        <v>156.88754646673209</v>
      </c>
    </row>
    <row r="14" spans="2:9">
      <c r="B14" t="s">
        <v>552</v>
      </c>
      <c r="C14" s="52">
        <f>D37</f>
        <v>166</v>
      </c>
      <c r="D14" s="17">
        <f>C38</f>
        <v>106</v>
      </c>
      <c r="E14" s="23">
        <f t="shared" ref="E14:E15" si="1">D14/$C$11</f>
        <v>0.42231075697211157</v>
      </c>
      <c r="F14" s="52">
        <f t="shared" ref="F14" si="2">C14*E14</f>
        <v>70.103585657370516</v>
      </c>
      <c r="G14" s="15">
        <f>-(D38*(1+K23)-D37)/D37</f>
        <v>0.86667782166674345</v>
      </c>
      <c r="H14" t="s">
        <v>563</v>
      </c>
      <c r="I14" s="52">
        <f t="shared" ref="I14:I15" si="3">F14*(1-G14)</f>
        <v>9.3463627488126786</v>
      </c>
    </row>
    <row r="15" spans="2:9">
      <c r="B15" t="s">
        <v>553</v>
      </c>
      <c r="C15" s="52">
        <f>D38</f>
        <v>29</v>
      </c>
      <c r="D15" s="17">
        <f>C37</f>
        <v>174</v>
      </c>
      <c r="E15" s="23">
        <f t="shared" si="1"/>
        <v>0.69322709163346619</v>
      </c>
      <c r="F15" s="52">
        <f>C15*E15</f>
        <v>20.10358565737052</v>
      </c>
      <c r="G15" s="15">
        <f>-K23</f>
        <v>0.23684546195446207</v>
      </c>
      <c r="H15" t="s">
        <v>564</v>
      </c>
      <c r="I15" s="52">
        <f t="shared" si="3"/>
        <v>15.342142625409501</v>
      </c>
    </row>
    <row r="16" spans="2:9">
      <c r="E16" t="s">
        <v>503</v>
      </c>
      <c r="F16" s="52">
        <f>SUM(F13:F15)</f>
        <v>295.78486055776892</v>
      </c>
      <c r="H16" t="s">
        <v>503</v>
      </c>
      <c r="I16" s="52">
        <f>SUM(I13:I15)</f>
        <v>181.57605184095428</v>
      </c>
    </row>
    <row r="17" spans="2:11">
      <c r="H17" t="s">
        <v>574</v>
      </c>
      <c r="I17" s="52">
        <f>F16-I16</f>
        <v>114.20880871681464</v>
      </c>
    </row>
    <row r="18" spans="2:11">
      <c r="B18" s="19"/>
      <c r="H18" t="s">
        <v>575</v>
      </c>
      <c r="I18" s="52">
        <f>I17*C41</f>
        <v>25.125937917699222</v>
      </c>
    </row>
    <row r="19" spans="2:11">
      <c r="H19" t="s">
        <v>576</v>
      </c>
      <c r="I19" s="52">
        <f>I17-I18</f>
        <v>89.082870799115426</v>
      </c>
    </row>
    <row r="20" spans="2:11">
      <c r="I20" s="52"/>
    </row>
    <row r="21" spans="2:11">
      <c r="B21" s="14" t="s">
        <v>515</v>
      </c>
      <c r="C21" t="s">
        <v>517</v>
      </c>
      <c r="D21" t="s">
        <v>517</v>
      </c>
      <c r="E21" t="s">
        <v>517</v>
      </c>
      <c r="F21" t="s">
        <v>518</v>
      </c>
      <c r="G21" t="s">
        <v>518</v>
      </c>
      <c r="H21" t="s">
        <v>518</v>
      </c>
    </row>
    <row r="22" spans="2:11">
      <c r="B22" t="s">
        <v>516</v>
      </c>
      <c r="C22" t="s">
        <v>519</v>
      </c>
      <c r="D22" t="s">
        <v>520</v>
      </c>
      <c r="E22" t="s">
        <v>521</v>
      </c>
      <c r="F22" t="s">
        <v>519</v>
      </c>
      <c r="G22" t="s">
        <v>520</v>
      </c>
      <c r="H22" t="s">
        <v>521</v>
      </c>
      <c r="I22" t="s">
        <v>532</v>
      </c>
      <c r="J22" t="s">
        <v>533</v>
      </c>
      <c r="K22" t="s">
        <v>427</v>
      </c>
    </row>
    <row r="23" spans="2:11">
      <c r="B23" t="s">
        <v>551</v>
      </c>
      <c r="C23">
        <v>88</v>
      </c>
      <c r="D23">
        <v>9.3000000000000007</v>
      </c>
      <c r="E23">
        <v>0</v>
      </c>
      <c r="F23" s="76">
        <v>0.222</v>
      </c>
      <c r="G23" s="76">
        <v>0.57599999999999996</v>
      </c>
      <c r="H23" s="76">
        <v>0.20200000000000001</v>
      </c>
      <c r="I23" s="52">
        <f>((C23*F23)+(D23*G23)+(E23*H23))*8760/1000</f>
        <v>218.06092800000002</v>
      </c>
      <c r="J23" s="52">
        <f>(C23*F23)*8760/1000</f>
        <v>171.13536000000002</v>
      </c>
      <c r="K23" s="70">
        <f>(J23-I23)/I23*(C24/I23)</f>
        <v>-0.23684546195446207</v>
      </c>
    </row>
    <row r="24" spans="2:11">
      <c r="B24" t="s">
        <v>556</v>
      </c>
      <c r="C24">
        <v>240</v>
      </c>
      <c r="D24" t="s">
        <v>143</v>
      </c>
      <c r="E24" t="s">
        <v>557</v>
      </c>
      <c r="F24" s="76"/>
      <c r="G24" s="76"/>
      <c r="H24" s="76"/>
      <c r="I24" s="52"/>
      <c r="J24" s="52"/>
      <c r="K24" s="70"/>
    </row>
    <row r="25" spans="2:11">
      <c r="B25" t="s">
        <v>562</v>
      </c>
    </row>
    <row r="26" spans="2:11">
      <c r="B26" t="s">
        <v>550</v>
      </c>
    </row>
    <row r="28" spans="2:11">
      <c r="B28" t="s">
        <v>535</v>
      </c>
    </row>
    <row r="29" spans="2:11">
      <c r="B29" t="s">
        <v>536</v>
      </c>
      <c r="C29" t="s">
        <v>551</v>
      </c>
    </row>
    <row r="30" spans="2:11">
      <c r="B30" t="s">
        <v>527</v>
      </c>
      <c r="C30">
        <v>28</v>
      </c>
    </row>
    <row r="31" spans="2:11">
      <c r="B31" t="s">
        <v>528</v>
      </c>
      <c r="C31">
        <v>30</v>
      </c>
    </row>
    <row r="32" spans="2:11">
      <c r="B32" t="s">
        <v>529</v>
      </c>
      <c r="C32">
        <v>25</v>
      </c>
    </row>
    <row r="33" spans="2:6">
      <c r="B33" t="s">
        <v>530</v>
      </c>
      <c r="C33">
        <v>66</v>
      </c>
    </row>
    <row r="34" spans="2:6">
      <c r="B34" t="s">
        <v>531</v>
      </c>
      <c r="C34">
        <v>66</v>
      </c>
    </row>
    <row r="35" spans="2:6">
      <c r="B35" t="s">
        <v>503</v>
      </c>
      <c r="C35">
        <f>SUM(C30:C34)</f>
        <v>215</v>
      </c>
    </row>
    <row r="36" spans="2:6">
      <c r="C36" t="s">
        <v>499</v>
      </c>
      <c r="D36" t="s">
        <v>143</v>
      </c>
    </row>
    <row r="37" spans="2:6">
      <c r="B37" t="s">
        <v>554</v>
      </c>
      <c r="C37">
        <v>174</v>
      </c>
      <c r="D37" s="52">
        <v>166</v>
      </c>
      <c r="E37">
        <f>C37*D37</f>
        <v>28884</v>
      </c>
    </row>
    <row r="38" spans="2:6">
      <c r="B38" t="s">
        <v>555</v>
      </c>
      <c r="C38">
        <v>106</v>
      </c>
      <c r="D38" s="52">
        <v>29</v>
      </c>
      <c r="E38">
        <f>C38*D38</f>
        <v>3074</v>
      </c>
    </row>
    <row r="39" spans="2:6">
      <c r="B39" t="s">
        <v>558</v>
      </c>
      <c r="C39">
        <f>C37+C38</f>
        <v>280</v>
      </c>
      <c r="E39">
        <f>(E37+E38)/C39</f>
        <v>114.13571428571429</v>
      </c>
      <c r="F39" t="s">
        <v>559</v>
      </c>
    </row>
    <row r="41" spans="2:6">
      <c r="B41" t="s">
        <v>573</v>
      </c>
      <c r="C41" s="15">
        <f>HRF!L14</f>
        <v>0.22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06"/>
  <sheetViews>
    <sheetView topLeftCell="A10" workbookViewId="0">
      <selection activeCell="B59" sqref="B59:D62"/>
    </sheetView>
  </sheetViews>
  <sheetFormatPr defaultRowHeight="15"/>
  <cols>
    <col min="2" max="2" width="22.42578125" customWidth="1"/>
  </cols>
  <sheetData>
    <row r="1" spans="2:8" ht="68.25" customHeight="1"/>
    <row r="2" spans="2:8" ht="21">
      <c r="B2" s="24" t="s">
        <v>162</v>
      </c>
    </row>
    <row r="3" spans="2:8">
      <c r="B3" s="13" t="s">
        <v>161</v>
      </c>
    </row>
    <row r="5" spans="2:8" ht="15.75" thickBot="1"/>
    <row r="6" spans="2:8" ht="75">
      <c r="B6" s="25" t="s">
        <v>138</v>
      </c>
      <c r="C6" s="26" t="s">
        <v>139</v>
      </c>
      <c r="D6" s="26" t="s">
        <v>140</v>
      </c>
      <c r="E6" s="26" t="s">
        <v>163</v>
      </c>
      <c r="F6" s="26" t="s">
        <v>164</v>
      </c>
      <c r="G6" s="26" t="s">
        <v>165</v>
      </c>
      <c r="H6" s="27" t="s">
        <v>166</v>
      </c>
    </row>
    <row r="7" spans="2:8" ht="25.5">
      <c r="B7" s="28" t="s">
        <v>167</v>
      </c>
      <c r="C7" s="29">
        <v>4.6399999999999997</v>
      </c>
      <c r="D7" s="29">
        <v>6.02</v>
      </c>
      <c r="E7" s="29" t="s">
        <v>168</v>
      </c>
      <c r="F7" s="29" t="s">
        <v>169</v>
      </c>
      <c r="G7" s="29" t="s">
        <v>170</v>
      </c>
      <c r="H7" s="30">
        <v>15.32</v>
      </c>
    </row>
    <row r="8" spans="2:8" ht="32.25" thickBot="1">
      <c r="B8" s="31" t="s">
        <v>171</v>
      </c>
      <c r="C8" s="32">
        <v>0.185</v>
      </c>
      <c r="D8" s="32">
        <v>0.246</v>
      </c>
      <c r="E8" s="32" t="s">
        <v>172</v>
      </c>
      <c r="F8" s="32" t="s">
        <v>173</v>
      </c>
      <c r="G8" s="32">
        <v>0.51700000000000002</v>
      </c>
      <c r="H8" s="33">
        <v>0.51700000000000002</v>
      </c>
    </row>
    <row r="57" spans="2:5" ht="15.75" thickBot="1"/>
    <row r="58" spans="2:5" ht="105">
      <c r="B58" s="25" t="s">
        <v>141</v>
      </c>
      <c r="C58" s="26" t="s">
        <v>174</v>
      </c>
      <c r="D58" s="26" t="s">
        <v>175</v>
      </c>
      <c r="E58" s="27" t="s">
        <v>176</v>
      </c>
    </row>
    <row r="59" spans="2:5" ht="25.5">
      <c r="B59" s="28" t="s">
        <v>177</v>
      </c>
      <c r="C59" s="29" t="s">
        <v>144</v>
      </c>
      <c r="D59" s="34">
        <v>37</v>
      </c>
      <c r="E59" s="30" t="s">
        <v>178</v>
      </c>
    </row>
    <row r="60" spans="2:5" ht="25.5">
      <c r="B60" s="35" t="s">
        <v>145</v>
      </c>
      <c r="C60" s="36" t="s">
        <v>144</v>
      </c>
      <c r="D60" s="37">
        <v>24</v>
      </c>
      <c r="E60" s="38" t="s">
        <v>179</v>
      </c>
    </row>
    <row r="61" spans="2:5" ht="25.5">
      <c r="B61" s="28" t="s">
        <v>146</v>
      </c>
      <c r="C61" s="29" t="s">
        <v>144</v>
      </c>
      <c r="D61" s="34">
        <v>17</v>
      </c>
      <c r="E61" s="30" t="s">
        <v>180</v>
      </c>
    </row>
    <row r="62" spans="2:5" ht="15.75" thickBot="1">
      <c r="B62" s="31" t="s">
        <v>147</v>
      </c>
      <c r="C62" s="32" t="s">
        <v>148</v>
      </c>
      <c r="D62" s="39">
        <v>7</v>
      </c>
      <c r="E62" s="33" t="s">
        <v>181</v>
      </c>
    </row>
    <row r="69" spans="2:7" ht="15.75" thickBot="1"/>
    <row r="70" spans="2:7" ht="90">
      <c r="B70" s="25" t="s">
        <v>182</v>
      </c>
      <c r="C70" s="26" t="s">
        <v>142</v>
      </c>
      <c r="D70" s="27" t="s">
        <v>183</v>
      </c>
    </row>
    <row r="71" spans="2:7">
      <c r="B71" s="28" t="s">
        <v>184</v>
      </c>
      <c r="C71" s="34">
        <v>310</v>
      </c>
      <c r="D71" s="30" t="s">
        <v>185</v>
      </c>
      <c r="F71" t="s">
        <v>236</v>
      </c>
      <c r="G71" s="15">
        <v>0.78</v>
      </c>
    </row>
    <row r="72" spans="2:7">
      <c r="B72" s="35" t="s">
        <v>186</v>
      </c>
      <c r="C72" s="37">
        <v>205</v>
      </c>
      <c r="D72" s="38" t="s">
        <v>187</v>
      </c>
    </row>
    <row r="73" spans="2:7">
      <c r="B73" s="28" t="s">
        <v>188</v>
      </c>
      <c r="C73" s="34">
        <v>155</v>
      </c>
      <c r="D73" s="30" t="s">
        <v>189</v>
      </c>
    </row>
    <row r="74" spans="2:7" ht="15.75" thickBot="1">
      <c r="B74" s="31" t="s">
        <v>190</v>
      </c>
      <c r="C74" s="39">
        <v>105</v>
      </c>
      <c r="D74" s="33" t="s">
        <v>191</v>
      </c>
    </row>
    <row r="97" spans="2:6" ht="15.75" thickBot="1"/>
    <row r="98" spans="2:6" ht="90">
      <c r="B98" s="25" t="s">
        <v>149</v>
      </c>
      <c r="C98" s="26" t="s">
        <v>192</v>
      </c>
      <c r="D98" s="27" t="s">
        <v>193</v>
      </c>
    </row>
    <row r="99" spans="2:6" ht="30">
      <c r="B99" s="40" t="s">
        <v>194</v>
      </c>
      <c r="C99" s="29" t="s">
        <v>195</v>
      </c>
      <c r="D99" s="41">
        <v>25</v>
      </c>
    </row>
    <row r="100" spans="2:6" ht="30.75" thickBot="1">
      <c r="B100" s="42" t="s">
        <v>196</v>
      </c>
      <c r="C100" s="32" t="s">
        <v>197</v>
      </c>
      <c r="D100" s="33" t="s">
        <v>198</v>
      </c>
    </row>
    <row r="101" spans="2:6" ht="15.75" thickBot="1"/>
    <row r="102" spans="2:6" ht="34.5">
      <c r="B102" s="43" t="s">
        <v>199</v>
      </c>
      <c r="C102" s="44"/>
      <c r="D102" s="44"/>
      <c r="E102" s="44"/>
      <c r="F102" s="45"/>
    </row>
    <row r="103" spans="2:6" ht="60">
      <c r="B103" s="80" t="s">
        <v>149</v>
      </c>
      <c r="C103" s="81" t="s">
        <v>200</v>
      </c>
      <c r="D103" s="46" t="s">
        <v>201</v>
      </c>
      <c r="E103" s="46" t="s">
        <v>203</v>
      </c>
      <c r="F103" s="47" t="s">
        <v>205</v>
      </c>
    </row>
    <row r="104" spans="2:6" ht="71.25">
      <c r="B104" s="80"/>
      <c r="C104" s="81"/>
      <c r="D104" s="48" t="s">
        <v>202</v>
      </c>
      <c r="E104" s="48" t="s">
        <v>204</v>
      </c>
      <c r="F104" s="49" t="s">
        <v>206</v>
      </c>
    </row>
    <row r="105" spans="2:6" ht="25.5">
      <c r="B105" s="40" t="s">
        <v>142</v>
      </c>
      <c r="C105" s="29" t="s">
        <v>207</v>
      </c>
      <c r="D105" s="29" t="s">
        <v>208</v>
      </c>
      <c r="E105" s="29" t="s">
        <v>209</v>
      </c>
      <c r="F105" s="30" t="s">
        <v>210</v>
      </c>
    </row>
    <row r="106" spans="2:6" ht="39" thickBot="1">
      <c r="B106" s="42" t="s">
        <v>183</v>
      </c>
      <c r="C106" s="32" t="s">
        <v>211</v>
      </c>
      <c r="D106" s="32" t="s">
        <v>212</v>
      </c>
      <c r="E106" s="32" t="s">
        <v>213</v>
      </c>
      <c r="F106" s="33" t="s">
        <v>214</v>
      </c>
    </row>
  </sheetData>
  <mergeCells count="2">
    <mergeCell ref="B103:B104"/>
    <mergeCell ref="C103:C104"/>
  </mergeCells>
  <hyperlinks>
    <hyperlink ref="B3" r:id="rId1"/>
  </hyperlinks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2:N26"/>
  <sheetViews>
    <sheetView workbookViewId="0">
      <selection activeCell="M5" sqref="M5:O5"/>
    </sheetView>
  </sheetViews>
  <sheetFormatPr defaultRowHeight="15"/>
  <cols>
    <col min="2" max="2" width="20.42578125" customWidth="1"/>
    <col min="6" max="6" width="10.85546875" customWidth="1"/>
    <col min="7" max="7" width="11.5703125" customWidth="1"/>
    <col min="8" max="8" width="47" customWidth="1"/>
  </cols>
  <sheetData>
    <row r="2" spans="2:14">
      <c r="M2" t="s">
        <v>511</v>
      </c>
      <c r="N2">
        <v>245</v>
      </c>
    </row>
    <row r="3" spans="2:14" ht="75">
      <c r="B3" s="3"/>
      <c r="C3" s="4" t="s">
        <v>286</v>
      </c>
      <c r="D3" s="4" t="s">
        <v>586</v>
      </c>
    </row>
    <row r="4" spans="2:14">
      <c r="B4" s="5" t="s">
        <v>28</v>
      </c>
      <c r="C4" s="11">
        <f>'EST HOME ANALYTICS'!K18</f>
        <v>36315</v>
      </c>
      <c r="D4" s="56">
        <f>C4*$I$19/1000000</f>
        <v>4.1387032158409482</v>
      </c>
    </row>
    <row r="5" spans="2:14">
      <c r="B5" s="5" t="s">
        <v>29</v>
      </c>
      <c r="C5" s="11">
        <f>'EST HOME ANALYTICS'!K19</f>
        <v>21634</v>
      </c>
      <c r="D5" s="56">
        <f t="shared" ref="D5:D6" si="0">C5*$I$19/1000000</f>
        <v>2.4655570803112505</v>
      </c>
    </row>
    <row r="6" spans="2:14">
      <c r="B6" s="5" t="s">
        <v>30</v>
      </c>
      <c r="C6" s="11">
        <f>'EST HOME ANALYTICS'!K20</f>
        <v>12602</v>
      </c>
      <c r="D6" s="56">
        <f t="shared" si="0"/>
        <v>1.4362092228012562</v>
      </c>
      <c r="M6" t="s">
        <v>513</v>
      </c>
      <c r="N6">
        <v>394</v>
      </c>
    </row>
    <row r="7" spans="2:14">
      <c r="B7" s="8" t="s">
        <v>31</v>
      </c>
      <c r="C7" s="11">
        <f>'EST HOME ANALYTICS'!K21</f>
        <v>63364</v>
      </c>
      <c r="D7" s="56">
        <f>C7*$I$19/1000000</f>
        <v>7.2213903502284404</v>
      </c>
      <c r="M7" t="s">
        <v>480</v>
      </c>
      <c r="N7">
        <v>395</v>
      </c>
    </row>
    <row r="8" spans="2:14">
      <c r="M8" t="s">
        <v>408</v>
      </c>
      <c r="N8">
        <v>398</v>
      </c>
    </row>
    <row r="9" spans="2:14">
      <c r="B9" s="18" t="s">
        <v>261</v>
      </c>
    </row>
    <row r="10" spans="2:14">
      <c r="B10" t="s">
        <v>481</v>
      </c>
    </row>
    <row r="11" spans="2:14">
      <c r="B11" t="s">
        <v>482</v>
      </c>
      <c r="C11">
        <v>251</v>
      </c>
    </row>
    <row r="12" spans="2:14">
      <c r="B12" s="75" t="s">
        <v>141</v>
      </c>
      <c r="C12" t="s">
        <v>143</v>
      </c>
      <c r="D12" t="s">
        <v>499</v>
      </c>
      <c r="E12" t="s">
        <v>377</v>
      </c>
      <c r="F12" t="s">
        <v>500</v>
      </c>
      <c r="G12" t="s">
        <v>501</v>
      </c>
      <c r="H12" t="s">
        <v>372</v>
      </c>
      <c r="I12" t="s">
        <v>502</v>
      </c>
    </row>
    <row r="13" spans="2:14">
      <c r="B13" t="s">
        <v>579</v>
      </c>
      <c r="C13" s="52">
        <f>418-F14</f>
        <v>155.5753854940034</v>
      </c>
      <c r="D13">
        <v>251</v>
      </c>
      <c r="E13" s="23">
        <f>D13/$C$11</f>
        <v>1</v>
      </c>
      <c r="F13" s="52">
        <f>C13*E13</f>
        <v>155.5753854940034</v>
      </c>
      <c r="G13" s="15">
        <v>0.1</v>
      </c>
      <c r="H13" t="s">
        <v>580</v>
      </c>
      <c r="I13" s="52">
        <f>F13*(1-G13)</f>
        <v>140.01784694460306</v>
      </c>
    </row>
    <row r="14" spans="2:14">
      <c r="B14" t="s">
        <v>582</v>
      </c>
      <c r="C14" s="52">
        <v>350.5</v>
      </c>
      <c r="D14" s="17">
        <f>251*C24</f>
        <v>187.92747001713309</v>
      </c>
      <c r="E14" s="23">
        <f t="shared" ref="E14:E15" si="1">D14/$C$11</f>
        <v>0.74871501998857803</v>
      </c>
      <c r="F14" s="52">
        <f t="shared" ref="F14" si="2">C14*E14</f>
        <v>262.4246145059966</v>
      </c>
      <c r="G14" s="15">
        <f>-(5-8)/8</f>
        <v>0.375</v>
      </c>
      <c r="H14" t="s">
        <v>578</v>
      </c>
      <c r="I14" s="52">
        <f t="shared" ref="I14" si="3">F14*(1-G14)</f>
        <v>164.01538406624786</v>
      </c>
    </row>
    <row r="15" spans="2:14">
      <c r="B15" t="s">
        <v>581</v>
      </c>
      <c r="C15" s="52">
        <f>I14</f>
        <v>164.01538406624786</v>
      </c>
      <c r="D15" s="17">
        <f>D14</f>
        <v>187.92747001713309</v>
      </c>
      <c r="E15" s="23">
        <f t="shared" si="1"/>
        <v>0.74871501998857803</v>
      </c>
      <c r="F15" s="52">
        <f t="shared" ref="F15" si="4">C15*E15</f>
        <v>122.80078155959507</v>
      </c>
      <c r="G15" s="15">
        <f>-(8-12)/12</f>
        <v>0.33333333333333331</v>
      </c>
      <c r="H15" t="s">
        <v>583</v>
      </c>
      <c r="I15" s="52">
        <f>F15*(1-G15)</f>
        <v>81.86718770639672</v>
      </c>
    </row>
    <row r="16" spans="2:14">
      <c r="E16" t="s">
        <v>503</v>
      </c>
      <c r="F16" s="52">
        <f>SUM(F13:F14)</f>
        <v>418</v>
      </c>
      <c r="H16" t="s">
        <v>503</v>
      </c>
      <c r="I16" s="52">
        <f>SUM(I13:I14)</f>
        <v>304.03323101085095</v>
      </c>
    </row>
    <row r="17" spans="2:9">
      <c r="H17" t="s">
        <v>574</v>
      </c>
      <c r="I17" s="52">
        <f>F16-I16</f>
        <v>113.96676898914905</v>
      </c>
    </row>
    <row r="18" spans="2:9">
      <c r="B18" s="19"/>
      <c r="H18" t="s">
        <v>575</v>
      </c>
      <c r="I18" s="52">
        <f>I17*C26</f>
        <v>0</v>
      </c>
    </row>
    <row r="19" spans="2:9">
      <c r="H19" t="s">
        <v>576</v>
      </c>
      <c r="I19" s="52">
        <f>I17-I18</f>
        <v>113.96676898914905</v>
      </c>
    </row>
    <row r="20" spans="2:9">
      <c r="B20" t="s">
        <v>591</v>
      </c>
      <c r="I20" s="52"/>
    </row>
    <row r="21" spans="2:9">
      <c r="B21" t="s">
        <v>587</v>
      </c>
      <c r="C21">
        <v>52.44</v>
      </c>
      <c r="D21" t="s">
        <v>589</v>
      </c>
      <c r="I21" s="52"/>
    </row>
    <row r="22" spans="2:9">
      <c r="B22" t="s">
        <v>588</v>
      </c>
      <c r="C22">
        <v>17.600000000000001</v>
      </c>
      <c r="D22" t="s">
        <v>589</v>
      </c>
      <c r="I22" s="52"/>
    </row>
    <row r="23" spans="2:9">
      <c r="B23" t="s">
        <v>590</v>
      </c>
      <c r="I23" s="52"/>
    </row>
    <row r="24" spans="2:9">
      <c r="B24" t="s">
        <v>584</v>
      </c>
      <c r="C24" s="15">
        <f>C21/(C21+C22)</f>
        <v>0.74871501998857803</v>
      </c>
      <c r="D24" t="s">
        <v>585</v>
      </c>
      <c r="I24" s="52"/>
    </row>
    <row r="26" spans="2:9">
      <c r="B26" t="s">
        <v>573</v>
      </c>
      <c r="C26" s="15">
        <v>0</v>
      </c>
      <c r="D26" t="s">
        <v>577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3:F17"/>
  <sheetViews>
    <sheetView workbookViewId="0">
      <selection activeCell="K17" sqref="K17"/>
    </sheetView>
  </sheetViews>
  <sheetFormatPr defaultRowHeight="15"/>
  <cols>
    <col min="2" max="2" width="19.42578125" customWidth="1"/>
  </cols>
  <sheetData>
    <row r="3" spans="2:6" ht="60">
      <c r="B3" s="3"/>
      <c r="C3" s="4" t="s">
        <v>286</v>
      </c>
      <c r="D3" s="4" t="s">
        <v>287</v>
      </c>
    </row>
    <row r="4" spans="2:6">
      <c r="B4" s="5" t="s">
        <v>28</v>
      </c>
      <c r="C4" s="11">
        <f>'EST HOME ANALYTICS'!K18*(1-C10)</f>
        <v>29705.670000000002</v>
      </c>
      <c r="D4" s="56">
        <f>C4*$C$17/1000000</f>
        <v>38.412504310344829</v>
      </c>
    </row>
    <row r="5" spans="2:6">
      <c r="B5" s="5" t="s">
        <v>29</v>
      </c>
      <c r="C5" s="11">
        <f>'EST HOME ANALYTICS'!K19*(1-C11)</f>
        <v>17069.226000000002</v>
      </c>
      <c r="D5" s="56">
        <f t="shared" ref="D5:D7" si="0">C5*$C$17/1000000</f>
        <v>22.072275000000005</v>
      </c>
    </row>
    <row r="6" spans="2:6">
      <c r="B6" s="5" t="s">
        <v>30</v>
      </c>
      <c r="C6" s="11">
        <f>'EST HOME ANALYTICS'!K20*(1-C12)</f>
        <v>9993.3860000000004</v>
      </c>
      <c r="D6" s="56">
        <f t="shared" si="0"/>
        <v>12.922481896551725</v>
      </c>
    </row>
    <row r="7" spans="2:6">
      <c r="B7" s="8" t="s">
        <v>31</v>
      </c>
      <c r="C7" s="11">
        <f>'EST HOME ANALYTICS'!K21*(1-C13)</f>
        <v>51198.112000000001</v>
      </c>
      <c r="D7" s="56">
        <f t="shared" si="0"/>
        <v>66.204455172413802</v>
      </c>
    </row>
    <row r="9" spans="2:6">
      <c r="B9" s="18" t="s">
        <v>137</v>
      </c>
      <c r="C9" s="15"/>
    </row>
    <row r="10" spans="2:6">
      <c r="B10" s="62" t="s">
        <v>392</v>
      </c>
      <c r="C10" s="15">
        <v>0.182</v>
      </c>
      <c r="D10" t="s">
        <v>396</v>
      </c>
    </row>
    <row r="11" spans="2:6">
      <c r="B11" t="s">
        <v>393</v>
      </c>
      <c r="C11" s="15">
        <v>0.21099999999999999</v>
      </c>
      <c r="D11" t="s">
        <v>396</v>
      </c>
    </row>
    <row r="12" spans="2:6">
      <c r="B12" t="s">
        <v>394</v>
      </c>
      <c r="C12" s="15">
        <v>0.20699999999999999</v>
      </c>
      <c r="D12" t="s">
        <v>396</v>
      </c>
      <c r="F12" t="s">
        <v>397</v>
      </c>
    </row>
    <row r="13" spans="2:6">
      <c r="B13" t="s">
        <v>395</v>
      </c>
      <c r="C13" s="15">
        <v>0.192</v>
      </c>
      <c r="D13" t="s">
        <v>396</v>
      </c>
      <c r="F13" t="s">
        <v>399</v>
      </c>
    </row>
    <row r="14" spans="2:6">
      <c r="B14" t="s">
        <v>285</v>
      </c>
      <c r="C14" s="15" t="s">
        <v>398</v>
      </c>
    </row>
    <row r="15" spans="2:6">
      <c r="B15" t="s">
        <v>142</v>
      </c>
      <c r="C15" s="16">
        <v>60</v>
      </c>
      <c r="D15" t="s">
        <v>237</v>
      </c>
    </row>
    <row r="16" spans="2:6">
      <c r="B16" t="s">
        <v>390</v>
      </c>
      <c r="C16">
        <f>lighting!C22</f>
        <v>4.6399999999999997</v>
      </c>
      <c r="D16" t="s">
        <v>366</v>
      </c>
    </row>
    <row r="17" spans="2:4">
      <c r="B17" t="s">
        <v>241</v>
      </c>
      <c r="C17" s="52">
        <f>C15*100/C16</f>
        <v>1293.1034482758621</v>
      </c>
      <c r="D17" t="s">
        <v>143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B2:C6"/>
  <sheetViews>
    <sheetView workbookViewId="0">
      <selection activeCell="F8" sqref="F8"/>
    </sheetView>
  </sheetViews>
  <sheetFormatPr defaultRowHeight="15"/>
  <cols>
    <col min="2" max="2" width="19.28515625" customWidth="1"/>
  </cols>
  <sheetData>
    <row r="2" spans="2:3" ht="60">
      <c r="B2" s="3"/>
      <c r="C2" s="4" t="s">
        <v>287</v>
      </c>
    </row>
    <row r="3" spans="2:3">
      <c r="B3" s="5" t="s">
        <v>28</v>
      </c>
      <c r="C3">
        <v>770.09279297918067</v>
      </c>
    </row>
    <row r="4" spans="2:3">
      <c r="B4" s="5" t="s">
        <v>29</v>
      </c>
      <c r="C4">
        <v>504.09301602345636</v>
      </c>
    </row>
    <row r="5" spans="2:3">
      <c r="B5" s="5" t="s">
        <v>30</v>
      </c>
      <c r="C5">
        <v>319.62377265831788</v>
      </c>
    </row>
    <row r="6" spans="2:3">
      <c r="B6" s="8" t="s">
        <v>31</v>
      </c>
      <c r="C6">
        <v>1404.2105660864174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10:L28"/>
  <sheetViews>
    <sheetView workbookViewId="0">
      <selection activeCell="L15" sqref="L15"/>
    </sheetView>
  </sheetViews>
  <sheetFormatPr defaultRowHeight="15"/>
  <cols>
    <col min="11" max="11" width="32.85546875" customWidth="1"/>
  </cols>
  <sheetData>
    <row r="10" spans="11:12">
      <c r="K10" t="s">
        <v>566</v>
      </c>
      <c r="L10" s="15">
        <v>0.21</v>
      </c>
    </row>
    <row r="11" spans="11:12">
      <c r="K11" t="s">
        <v>567</v>
      </c>
      <c r="L11" s="15">
        <v>0.25</v>
      </c>
    </row>
    <row r="12" spans="11:12">
      <c r="K12" t="s">
        <v>568</v>
      </c>
      <c r="L12" s="15">
        <v>0.18</v>
      </c>
    </row>
    <row r="13" spans="11:12">
      <c r="K13" t="s">
        <v>569</v>
      </c>
      <c r="L13" s="15">
        <v>0.05</v>
      </c>
    </row>
    <row r="14" spans="11:12">
      <c r="K14" t="s">
        <v>570</v>
      </c>
      <c r="L14" s="15">
        <v>0.22</v>
      </c>
    </row>
    <row r="28" spans="3:3">
      <c r="C28" s="13" t="s">
        <v>565</v>
      </c>
    </row>
  </sheetData>
  <hyperlinks>
    <hyperlink ref="C28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H44"/>
  <sheetViews>
    <sheetView topLeftCell="A7" workbookViewId="0">
      <selection activeCell="G16" sqref="G16"/>
    </sheetView>
  </sheetViews>
  <sheetFormatPr defaultRowHeight="15"/>
  <cols>
    <col min="2" max="2" width="14.140625" bestFit="1" customWidth="1"/>
    <col min="7" max="7" width="10.7109375" bestFit="1" customWidth="1"/>
  </cols>
  <sheetData>
    <row r="1" spans="2:8" ht="78.75" customHeight="1">
      <c r="B1" s="13" t="s">
        <v>228</v>
      </c>
    </row>
    <row r="2" spans="2:8">
      <c r="B2" t="s">
        <v>227</v>
      </c>
      <c r="C2" t="s">
        <v>226</v>
      </c>
    </row>
    <row r="3" spans="2:8">
      <c r="B3" t="s">
        <v>225</v>
      </c>
      <c r="C3" t="s">
        <v>224</v>
      </c>
    </row>
    <row r="4" spans="2:8">
      <c r="B4" t="s">
        <v>223</v>
      </c>
      <c r="C4" t="s">
        <v>222</v>
      </c>
    </row>
    <row r="5" spans="2:8">
      <c r="B5" t="s">
        <v>221</v>
      </c>
      <c r="C5" t="s">
        <v>220</v>
      </c>
    </row>
    <row r="6" spans="2:8">
      <c r="B6" t="s">
        <v>219</v>
      </c>
      <c r="C6" t="s">
        <v>218</v>
      </c>
    </row>
    <row r="8" spans="2:8">
      <c r="B8" t="s">
        <v>217</v>
      </c>
      <c r="C8" t="s">
        <v>216</v>
      </c>
      <c r="D8" t="s">
        <v>215</v>
      </c>
      <c r="G8" t="s">
        <v>229</v>
      </c>
    </row>
    <row r="9" spans="2:8">
      <c r="B9" s="50">
        <v>40238</v>
      </c>
      <c r="C9">
        <v>282</v>
      </c>
      <c r="D9">
        <v>3</v>
      </c>
      <c r="G9">
        <f>SUM(C9:C44)/3</f>
        <v>1819.6666666666667</v>
      </c>
      <c r="H9" t="s">
        <v>230</v>
      </c>
    </row>
    <row r="10" spans="2:8">
      <c r="B10" s="50">
        <v>40269</v>
      </c>
      <c r="C10">
        <v>193</v>
      </c>
      <c r="D10">
        <v>3</v>
      </c>
      <c r="G10">
        <f>G9*24</f>
        <v>43672</v>
      </c>
      <c r="H10" t="s">
        <v>231</v>
      </c>
    </row>
    <row r="11" spans="2:8">
      <c r="B11" s="50">
        <v>40299</v>
      </c>
      <c r="C11">
        <v>144</v>
      </c>
      <c r="D11">
        <v>8</v>
      </c>
      <c r="G11">
        <f>G10/1000</f>
        <v>43.671999999999997</v>
      </c>
      <c r="H11" t="s">
        <v>232</v>
      </c>
    </row>
    <row r="12" spans="2:8">
      <c r="B12" s="50">
        <v>40330</v>
      </c>
      <c r="C12">
        <v>42</v>
      </c>
      <c r="D12">
        <v>3</v>
      </c>
    </row>
    <row r="13" spans="2:8">
      <c r="B13" s="50">
        <v>40360</v>
      </c>
      <c r="C13">
        <v>15</v>
      </c>
      <c r="D13">
        <v>4</v>
      </c>
      <c r="G13" t="s">
        <v>292</v>
      </c>
    </row>
    <row r="14" spans="2:8">
      <c r="B14" s="50">
        <v>40391</v>
      </c>
      <c r="C14">
        <v>31</v>
      </c>
      <c r="D14">
        <v>3</v>
      </c>
      <c r="G14" s="17">
        <f>SUM(C9:C10,C15:C22,C27:C34,C39:C44)/3</f>
        <v>1584.3333333333333</v>
      </c>
      <c r="H14" t="s">
        <v>230</v>
      </c>
    </row>
    <row r="15" spans="2:8">
      <c r="B15" s="50">
        <v>40422</v>
      </c>
      <c r="C15">
        <v>59</v>
      </c>
      <c r="D15">
        <v>3</v>
      </c>
      <c r="G15">
        <f>G14*24</f>
        <v>38024</v>
      </c>
      <c r="H15" t="s">
        <v>231</v>
      </c>
    </row>
    <row r="16" spans="2:8">
      <c r="B16" s="50">
        <v>40452</v>
      </c>
      <c r="C16">
        <v>121</v>
      </c>
      <c r="D16">
        <v>5</v>
      </c>
      <c r="G16">
        <f>G15/1000</f>
        <v>38.024000000000001</v>
      </c>
      <c r="H16" t="s">
        <v>232</v>
      </c>
    </row>
    <row r="17" spans="2:4">
      <c r="B17" s="50">
        <v>40483</v>
      </c>
      <c r="C17">
        <v>247</v>
      </c>
      <c r="D17">
        <v>4</v>
      </c>
    </row>
    <row r="18" spans="2:4">
      <c r="B18" s="50">
        <v>40513</v>
      </c>
      <c r="C18">
        <v>405</v>
      </c>
      <c r="D18">
        <v>11</v>
      </c>
    </row>
    <row r="19" spans="2:4">
      <c r="B19" s="50">
        <v>40544</v>
      </c>
      <c r="C19">
        <v>313</v>
      </c>
      <c r="D19">
        <v>4</v>
      </c>
    </row>
    <row r="20" spans="2:4">
      <c r="B20" s="50">
        <v>40575</v>
      </c>
      <c r="C20">
        <v>208</v>
      </c>
      <c r="D20">
        <v>4</v>
      </c>
    </row>
    <row r="21" spans="2:4">
      <c r="B21" s="50">
        <v>40603</v>
      </c>
      <c r="C21">
        <v>235</v>
      </c>
      <c r="D21">
        <v>4</v>
      </c>
    </row>
    <row r="22" spans="2:4">
      <c r="B22" s="50">
        <v>40634</v>
      </c>
      <c r="C22">
        <v>113</v>
      </c>
      <c r="D22">
        <v>4</v>
      </c>
    </row>
    <row r="23" spans="2:4">
      <c r="B23" s="50">
        <v>40664</v>
      </c>
      <c r="C23">
        <v>104</v>
      </c>
      <c r="D23">
        <v>3</v>
      </c>
    </row>
    <row r="24" spans="2:4">
      <c r="B24" s="50">
        <v>40695</v>
      </c>
      <c r="C24">
        <v>64</v>
      </c>
      <c r="D24">
        <v>3</v>
      </c>
    </row>
    <row r="25" spans="2:4">
      <c r="B25" s="50">
        <v>40725</v>
      </c>
      <c r="C25">
        <v>35</v>
      </c>
      <c r="D25">
        <v>3</v>
      </c>
    </row>
    <row r="26" spans="2:4">
      <c r="B26" s="50">
        <v>40756</v>
      </c>
      <c r="C26">
        <v>35</v>
      </c>
      <c r="D26">
        <v>3</v>
      </c>
    </row>
    <row r="27" spans="2:4">
      <c r="B27" s="50">
        <v>40787</v>
      </c>
      <c r="C27">
        <v>29</v>
      </c>
      <c r="D27">
        <v>3</v>
      </c>
    </row>
    <row r="28" spans="2:4">
      <c r="B28" s="50">
        <v>40817</v>
      </c>
      <c r="C28">
        <v>78</v>
      </c>
      <c r="D28">
        <v>3</v>
      </c>
    </row>
    <row r="29" spans="2:4">
      <c r="B29" s="50">
        <v>40848</v>
      </c>
      <c r="C29">
        <v>109</v>
      </c>
      <c r="D29">
        <v>4</v>
      </c>
    </row>
    <row r="30" spans="2:4">
      <c r="B30" s="50">
        <v>40878</v>
      </c>
      <c r="C30">
        <v>219</v>
      </c>
      <c r="D30">
        <v>3</v>
      </c>
    </row>
    <row r="31" spans="2:4">
      <c r="B31" s="50">
        <v>40909</v>
      </c>
      <c r="C31">
        <v>243</v>
      </c>
      <c r="D31">
        <v>3</v>
      </c>
    </row>
    <row r="32" spans="2:4">
      <c r="B32" s="50">
        <v>40940</v>
      </c>
      <c r="C32">
        <v>279</v>
      </c>
      <c r="D32">
        <v>3</v>
      </c>
    </row>
    <row r="33" spans="2:4">
      <c r="B33" s="50">
        <v>40969</v>
      </c>
      <c r="C33">
        <v>194</v>
      </c>
      <c r="D33">
        <v>3</v>
      </c>
    </row>
    <row r="34" spans="2:4">
      <c r="B34" s="50">
        <v>41000</v>
      </c>
      <c r="C34">
        <v>217</v>
      </c>
      <c r="D34">
        <v>3</v>
      </c>
    </row>
    <row r="35" spans="2:4">
      <c r="B35" s="50">
        <v>41030</v>
      </c>
      <c r="C35">
        <v>118</v>
      </c>
      <c r="D35">
        <v>3</v>
      </c>
    </row>
    <row r="36" spans="2:4">
      <c r="B36" s="50">
        <v>41061</v>
      </c>
      <c r="C36">
        <v>67</v>
      </c>
      <c r="D36">
        <v>3</v>
      </c>
    </row>
    <row r="37" spans="2:4">
      <c r="B37" s="50">
        <v>41091</v>
      </c>
      <c r="C37">
        <v>38</v>
      </c>
      <c r="D37">
        <v>3</v>
      </c>
    </row>
    <row r="38" spans="2:4">
      <c r="B38" s="50">
        <v>41122</v>
      </c>
      <c r="C38">
        <v>13</v>
      </c>
      <c r="D38">
        <v>3</v>
      </c>
    </row>
    <row r="39" spans="2:4">
      <c r="B39" s="50">
        <v>41153</v>
      </c>
      <c r="C39">
        <v>65</v>
      </c>
      <c r="D39">
        <v>3</v>
      </c>
    </row>
    <row r="40" spans="2:4">
      <c r="B40" s="50">
        <v>41183</v>
      </c>
      <c r="C40">
        <v>121</v>
      </c>
      <c r="D40">
        <v>3</v>
      </c>
    </row>
    <row r="41" spans="2:4">
      <c r="B41" s="50">
        <v>41214</v>
      </c>
      <c r="C41">
        <v>212</v>
      </c>
      <c r="D41">
        <v>3</v>
      </c>
    </row>
    <row r="42" spans="2:4">
      <c r="B42" s="50">
        <v>41244</v>
      </c>
      <c r="C42">
        <v>244</v>
      </c>
      <c r="D42">
        <v>3</v>
      </c>
    </row>
    <row r="43" spans="2:4">
      <c r="B43" s="50">
        <v>41275</v>
      </c>
      <c r="C43">
        <v>279</v>
      </c>
      <c r="D43">
        <v>3</v>
      </c>
    </row>
    <row r="44" spans="2:4">
      <c r="B44" s="50">
        <v>41306</v>
      </c>
      <c r="C44">
        <v>288</v>
      </c>
      <c r="D44">
        <v>4</v>
      </c>
    </row>
  </sheetData>
  <hyperlinks>
    <hyperlink ref="B1" r:id="rId1" location="generate 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U7"/>
  <sheetViews>
    <sheetView topLeftCell="L1" workbookViewId="0">
      <selection activeCell="B6" sqref="B6"/>
    </sheetView>
  </sheetViews>
  <sheetFormatPr defaultRowHeight="15"/>
  <cols>
    <col min="1" max="1" width="13.140625" bestFit="1" customWidth="1"/>
    <col min="2" max="2" width="22" bestFit="1" customWidth="1"/>
    <col min="3" max="3" width="27.42578125" bestFit="1" customWidth="1"/>
    <col min="4" max="4" width="26.42578125" bestFit="1" customWidth="1"/>
    <col min="5" max="5" width="26.5703125" bestFit="1" customWidth="1"/>
    <col min="6" max="6" width="27.5703125" bestFit="1" customWidth="1"/>
    <col min="7" max="7" width="29.85546875" bestFit="1" customWidth="1"/>
    <col min="8" max="8" width="29.42578125" bestFit="1" customWidth="1"/>
    <col min="9" max="9" width="42.140625" bestFit="1" customWidth="1"/>
    <col min="10" max="10" width="44.140625" bestFit="1" customWidth="1"/>
    <col min="11" max="11" width="13.28515625" bestFit="1" customWidth="1"/>
    <col min="12" max="12" width="43" bestFit="1" customWidth="1"/>
    <col min="13" max="13" width="28.140625" bestFit="1" customWidth="1"/>
    <col min="14" max="14" width="37.28515625" bestFit="1" customWidth="1"/>
    <col min="15" max="15" width="30.140625" bestFit="1" customWidth="1"/>
    <col min="16" max="16" width="25.85546875" bestFit="1" customWidth="1"/>
    <col min="17" max="17" width="26" bestFit="1" customWidth="1"/>
    <col min="18" max="18" width="30.42578125" bestFit="1" customWidth="1"/>
    <col min="19" max="19" width="28.5703125" bestFit="1" customWidth="1"/>
    <col min="20" max="20" width="26.42578125" bestFit="1" customWidth="1"/>
    <col min="21" max="21" width="35" bestFit="1" customWidth="1"/>
  </cols>
  <sheetData>
    <row r="1" spans="1:21">
      <c r="B1" s="68" t="s">
        <v>389</v>
      </c>
    </row>
    <row r="2" spans="1:21">
      <c r="A2" s="68" t="s">
        <v>387</v>
      </c>
      <c r="B2" t="s">
        <v>475</v>
      </c>
      <c r="C2" t="s">
        <v>461</v>
      </c>
      <c r="D2" t="s">
        <v>459</v>
      </c>
      <c r="E2" t="s">
        <v>460</v>
      </c>
      <c r="F2" t="s">
        <v>462</v>
      </c>
      <c r="G2" t="s">
        <v>463</v>
      </c>
      <c r="H2" t="s">
        <v>464</v>
      </c>
      <c r="I2" t="s">
        <v>465</v>
      </c>
      <c r="J2" t="s">
        <v>466</v>
      </c>
      <c r="K2" t="s">
        <v>467</v>
      </c>
      <c r="L2" t="s">
        <v>468</v>
      </c>
      <c r="M2" t="s">
        <v>469</v>
      </c>
      <c r="N2" t="s">
        <v>470</v>
      </c>
      <c r="O2" t="s">
        <v>471</v>
      </c>
      <c r="P2" t="s">
        <v>472</v>
      </c>
      <c r="Q2" t="s">
        <v>598</v>
      </c>
      <c r="R2" t="s">
        <v>599</v>
      </c>
      <c r="S2" t="s">
        <v>600</v>
      </c>
      <c r="T2" t="s">
        <v>601</v>
      </c>
      <c r="U2" t="s">
        <v>473</v>
      </c>
    </row>
    <row r="3" spans="1:21">
      <c r="A3" s="69" t="s">
        <v>28</v>
      </c>
      <c r="B3" s="66">
        <v>363.8021988978241</v>
      </c>
      <c r="C3" s="66">
        <v>18.369751158231445</v>
      </c>
      <c r="D3" s="66">
        <v>122.5583036701062</v>
      </c>
      <c r="E3" s="66">
        <v>2.4417170282327603</v>
      </c>
      <c r="F3" s="66">
        <v>8.7066928783351294</v>
      </c>
      <c r="G3" s="66">
        <v>13.798211453309744</v>
      </c>
      <c r="H3" s="66">
        <v>41.815917487684658</v>
      </c>
      <c r="I3" s="66">
        <v>26.846377490032257</v>
      </c>
      <c r="J3" s="66">
        <v>84.392704095247026</v>
      </c>
      <c r="K3" s="66">
        <v>25.380275895821203</v>
      </c>
      <c r="L3" s="66">
        <v>0.84037852106673594</v>
      </c>
      <c r="M3" s="66">
        <v>10.191011085675001</v>
      </c>
      <c r="N3" s="66">
        <v>8.1563197201269926</v>
      </c>
      <c r="O3" s="66">
        <v>1.1907634678565735</v>
      </c>
      <c r="P3" s="66">
        <v>3.1896658192858558</v>
      </c>
      <c r="Q3" s="66">
        <v>1.5627533201354595</v>
      </c>
      <c r="R3" s="66">
        <v>3.7016726068320924</v>
      </c>
      <c r="S3" s="66">
        <v>3.235044453069877</v>
      </c>
      <c r="T3" s="66">
        <v>4.1387032158409482</v>
      </c>
      <c r="U3" s="66">
        <v>38.412504310344829</v>
      </c>
    </row>
    <row r="4" spans="1:21">
      <c r="A4" s="69" t="s">
        <v>29</v>
      </c>
      <c r="B4" s="66">
        <v>247.56296885920506</v>
      </c>
      <c r="C4" s="66">
        <v>13.609732389726462</v>
      </c>
      <c r="D4" s="66">
        <v>84.488646573717361</v>
      </c>
      <c r="E4" s="66">
        <v>1.6354157829827605</v>
      </c>
      <c r="F4" s="66">
        <v>5.310799480964441</v>
      </c>
      <c r="G4" s="66">
        <v>9.0733225186705617</v>
      </c>
      <c r="H4" s="66">
        <v>24.911071428571415</v>
      </c>
      <c r="I4" s="66">
        <v>15.993240551269663</v>
      </c>
      <c r="J4" s="66">
        <v>50.275416780850186</v>
      </c>
      <c r="K4" s="66">
        <v>15.119837224054534</v>
      </c>
      <c r="L4" s="66">
        <v>0.50064020170061307</v>
      </c>
      <c r="M4" s="66">
        <v>6.0711092889300007</v>
      </c>
      <c r="N4" s="66">
        <v>4.8589789570488042</v>
      </c>
      <c r="O4" s="66">
        <v>0.70937565368605571</v>
      </c>
      <c r="P4" s="66">
        <v>1.9001853320784858</v>
      </c>
      <c r="Q4" s="66">
        <v>0.93098183471872598</v>
      </c>
      <c r="R4" s="66">
        <v>2.2052040527662258</v>
      </c>
      <c r="S4" s="66">
        <v>1.927218826868063</v>
      </c>
      <c r="T4" s="66">
        <v>2.4655570803112505</v>
      </c>
      <c r="U4" s="66">
        <v>22.072275000000005</v>
      </c>
    </row>
    <row r="5" spans="1:21">
      <c r="A5" s="69" t="s">
        <v>30</v>
      </c>
      <c r="B5" s="66">
        <v>167.45603404060932</v>
      </c>
      <c r="C5" s="66">
        <v>7.2105608119699518</v>
      </c>
      <c r="D5" s="66">
        <v>51.534096596298497</v>
      </c>
      <c r="E5" s="66">
        <v>1.1898695497887926</v>
      </c>
      <c r="F5" s="66">
        <v>3.137619864105607</v>
      </c>
      <c r="G5" s="66">
        <v>6.0740594235938268</v>
      </c>
      <c r="H5" s="66">
        <v>14.510923645320196</v>
      </c>
      <c r="I5" s="66">
        <v>9.3162067776231989</v>
      </c>
      <c r="J5" s="66">
        <v>29.285883436825088</v>
      </c>
      <c r="K5" s="66">
        <v>8.8074414672419898</v>
      </c>
      <c r="L5" s="66">
        <v>0.29162743005598257</v>
      </c>
      <c r="M5" s="66">
        <v>3.5364758832900001</v>
      </c>
      <c r="N5" s="66">
        <v>2.8303990393237051</v>
      </c>
      <c r="O5" s="66">
        <v>0.41321771229322701</v>
      </c>
      <c r="P5" s="66">
        <v>1.1068750834266929</v>
      </c>
      <c r="Q5" s="66">
        <v>0.54230531021195261</v>
      </c>
      <c r="R5" s="66">
        <v>1.2845512375409067</v>
      </c>
      <c r="S5" s="66">
        <v>1.1226223378104525</v>
      </c>
      <c r="T5" s="66">
        <v>1.4362092228012562</v>
      </c>
      <c r="U5" s="66">
        <v>12.922481896551725</v>
      </c>
    </row>
    <row r="6" spans="1:21">
      <c r="A6" s="69" t="s">
        <v>31</v>
      </c>
      <c r="B6" s="66">
        <v>675.0285808398703</v>
      </c>
      <c r="C6" s="66">
        <v>34.734057065618451</v>
      </c>
      <c r="D6" s="66">
        <v>230.05644961890962</v>
      </c>
      <c r="E6" s="66">
        <v>4.7514447601681065</v>
      </c>
      <c r="F6" s="66">
        <v>15.394705066282331</v>
      </c>
      <c r="G6" s="66">
        <v>25.576484238472432</v>
      </c>
      <c r="H6" s="66">
        <v>72.962241379310257</v>
      </c>
      <c r="I6" s="66">
        <v>46.842733396073356</v>
      </c>
      <c r="J6" s="66">
        <v>147.25208047063839</v>
      </c>
      <c r="K6" s="66">
        <v>44.284615225894349</v>
      </c>
      <c r="L6" s="66">
        <v>1.4663291920383492</v>
      </c>
      <c r="M6" s="66">
        <v>17.78172177978</v>
      </c>
      <c r="N6" s="66">
        <v>14.231503311197212</v>
      </c>
      <c r="O6" s="66">
        <v>2.0776961690007965</v>
      </c>
      <c r="P6" s="66">
        <v>5.5654684007497996</v>
      </c>
      <c r="Q6" s="66">
        <v>2.7267603298103609</v>
      </c>
      <c r="R6" s="66">
        <v>6.4588402329425501</v>
      </c>
      <c r="S6" s="66">
        <v>5.6446470253151499</v>
      </c>
      <c r="T6" s="66">
        <v>7.2213903502284404</v>
      </c>
      <c r="U6" s="66">
        <v>66.204455172413802</v>
      </c>
    </row>
    <row r="7" spans="1:21">
      <c r="A7" s="69" t="s">
        <v>388</v>
      </c>
      <c r="B7" s="66">
        <v>1453.8497826375087</v>
      </c>
      <c r="C7" s="66">
        <v>73.924101425546297</v>
      </c>
      <c r="D7" s="66">
        <v>488.63749645903169</v>
      </c>
      <c r="E7" s="66">
        <v>10.018447121172418</v>
      </c>
      <c r="F7" s="66">
        <v>32.54981728968751</v>
      </c>
      <c r="G7" s="66">
        <v>54.522077634046568</v>
      </c>
      <c r="H7" s="66">
        <v>154.20015394088654</v>
      </c>
      <c r="I7" s="66">
        <v>98.998558214998468</v>
      </c>
      <c r="J7" s="66">
        <v>311.2060847835607</v>
      </c>
      <c r="K7" s="66">
        <v>93.592169813012077</v>
      </c>
      <c r="L7" s="66">
        <v>3.0989753448616808</v>
      </c>
      <c r="M7" s="66">
        <v>37.580318037674999</v>
      </c>
      <c r="N7" s="66">
        <v>30.077201027696713</v>
      </c>
      <c r="O7" s="66">
        <v>4.391053002836653</v>
      </c>
      <c r="P7" s="66">
        <v>11.762194635540833</v>
      </c>
      <c r="Q7" s="66">
        <v>5.7628007948764992</v>
      </c>
      <c r="R7" s="66">
        <v>13.650268130081773</v>
      </c>
      <c r="S7" s="66">
        <v>11.929532643063542</v>
      </c>
      <c r="T7" s="66">
        <v>15.261859869181894</v>
      </c>
      <c r="U7" s="66">
        <v>139.61171637931037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AQ14"/>
  <sheetViews>
    <sheetView workbookViewId="0">
      <selection activeCell="C12" sqref="C11:C14"/>
    </sheetView>
  </sheetViews>
  <sheetFormatPr defaultRowHeight="15"/>
  <cols>
    <col min="2" max="2" width="13.28515625" bestFit="1" customWidth="1"/>
    <col min="3" max="3" width="13.28515625" customWidth="1"/>
    <col min="4" max="15" width="10" customWidth="1"/>
    <col min="19" max="19" width="11.5703125" bestFit="1" customWidth="1"/>
  </cols>
  <sheetData>
    <row r="2" spans="2:43" s="57" customFormat="1" ht="45.75" customHeight="1">
      <c r="B2" s="85"/>
      <c r="C2" s="74"/>
      <c r="D2" s="82" t="s">
        <v>150</v>
      </c>
      <c r="E2" s="83"/>
      <c r="F2" s="82" t="s">
        <v>160</v>
      </c>
      <c r="G2" s="83"/>
      <c r="H2" s="82" t="s">
        <v>316</v>
      </c>
      <c r="I2" s="83"/>
      <c r="J2" s="82" t="s">
        <v>317</v>
      </c>
      <c r="K2" s="83"/>
      <c r="L2" s="82" t="s">
        <v>318</v>
      </c>
      <c r="M2" s="83"/>
      <c r="N2" s="82" t="s">
        <v>319</v>
      </c>
      <c r="O2" s="83"/>
      <c r="P2" s="82" t="s">
        <v>347</v>
      </c>
      <c r="Q2" s="83"/>
      <c r="R2" s="82" t="s">
        <v>348</v>
      </c>
      <c r="S2" s="83"/>
      <c r="T2" s="82" t="s">
        <v>349</v>
      </c>
      <c r="U2" s="83"/>
      <c r="V2" s="82" t="s">
        <v>401</v>
      </c>
      <c r="W2" s="83"/>
      <c r="X2" s="82" t="s">
        <v>385</v>
      </c>
      <c r="Y2" s="83"/>
      <c r="Z2" s="82" t="s">
        <v>456</v>
      </c>
      <c r="AA2" s="83"/>
      <c r="AB2" s="82" t="s">
        <v>457</v>
      </c>
      <c r="AC2" s="83"/>
      <c r="AD2" s="82" t="s">
        <v>458</v>
      </c>
      <c r="AE2" s="83"/>
      <c r="AF2" s="82" t="s">
        <v>594</v>
      </c>
      <c r="AG2" s="83"/>
      <c r="AH2" s="82" t="s">
        <v>595</v>
      </c>
      <c r="AI2" s="83"/>
      <c r="AJ2" s="82" t="s">
        <v>596</v>
      </c>
      <c r="AK2" s="83"/>
      <c r="AL2" s="84" t="s">
        <v>597</v>
      </c>
      <c r="AM2" s="83"/>
      <c r="AN2" s="82" t="s">
        <v>400</v>
      </c>
      <c r="AO2" s="83"/>
    </row>
    <row r="3" spans="2:43" ht="60">
      <c r="B3" s="86"/>
      <c r="C3" s="4" t="s">
        <v>474</v>
      </c>
      <c r="D3" s="4" t="s">
        <v>314</v>
      </c>
      <c r="E3" s="4" t="s">
        <v>315</v>
      </c>
      <c r="F3" s="4" t="s">
        <v>314</v>
      </c>
      <c r="G3" s="4" t="s">
        <v>315</v>
      </c>
      <c r="H3" s="4" t="s">
        <v>314</v>
      </c>
      <c r="I3" s="4" t="s">
        <v>315</v>
      </c>
      <c r="J3" s="4" t="s">
        <v>314</v>
      </c>
      <c r="K3" s="4" t="s">
        <v>315</v>
      </c>
      <c r="L3" s="4" t="s">
        <v>314</v>
      </c>
      <c r="M3" s="4" t="s">
        <v>315</v>
      </c>
      <c r="N3" s="4" t="s">
        <v>314</v>
      </c>
      <c r="O3" s="4" t="s">
        <v>315</v>
      </c>
      <c r="P3" s="4" t="s">
        <v>314</v>
      </c>
      <c r="Q3" s="4" t="s">
        <v>315</v>
      </c>
      <c r="R3" s="4" t="s">
        <v>314</v>
      </c>
      <c r="S3" s="4" t="s">
        <v>315</v>
      </c>
      <c r="T3" s="4" t="s">
        <v>314</v>
      </c>
      <c r="U3" s="4" t="s">
        <v>315</v>
      </c>
      <c r="V3" s="4" t="s">
        <v>314</v>
      </c>
      <c r="W3" s="4" t="s">
        <v>315</v>
      </c>
      <c r="X3" s="4" t="s">
        <v>314</v>
      </c>
      <c r="Y3" s="4" t="s">
        <v>315</v>
      </c>
      <c r="Z3" s="4" t="s">
        <v>314</v>
      </c>
      <c r="AA3" s="4" t="s">
        <v>315</v>
      </c>
      <c r="AB3" s="4" t="s">
        <v>314</v>
      </c>
      <c r="AC3" s="4" t="s">
        <v>315</v>
      </c>
      <c r="AD3" s="4" t="s">
        <v>314</v>
      </c>
      <c r="AE3" s="4" t="s">
        <v>315</v>
      </c>
      <c r="AF3" s="4" t="s">
        <v>314</v>
      </c>
      <c r="AG3" s="4" t="s">
        <v>315</v>
      </c>
      <c r="AH3" s="4" t="s">
        <v>314</v>
      </c>
      <c r="AI3" s="4" t="s">
        <v>315</v>
      </c>
      <c r="AJ3" s="4" t="s">
        <v>314</v>
      </c>
      <c r="AK3" s="4" t="s">
        <v>315</v>
      </c>
      <c r="AL3" s="4" t="s">
        <v>314</v>
      </c>
      <c r="AM3" s="4" t="s">
        <v>315</v>
      </c>
      <c r="AN3" s="4" t="s">
        <v>314</v>
      </c>
      <c r="AO3" s="4" t="s">
        <v>315</v>
      </c>
      <c r="AP3" s="57"/>
      <c r="AQ3" s="57"/>
    </row>
    <row r="4" spans="2:43" ht="150">
      <c r="B4" s="67" t="s">
        <v>386</v>
      </c>
      <c r="C4" s="4" t="s">
        <v>474</v>
      </c>
      <c r="D4" s="4" t="str">
        <f>D2&amp;": "&amp;D3</f>
        <v>Cavity Wall Insulation: Number of Measures</v>
      </c>
      <c r="E4" s="73" t="str">
        <f>D2</f>
        <v>Cavity Wall Insulation</v>
      </c>
      <c r="F4" s="4" t="str">
        <f>F2&amp;": "&amp;F3</f>
        <v>Solid Wall Insulation: Number of Measures</v>
      </c>
      <c r="G4" s="73" t="str">
        <f>F2</f>
        <v>Solid Wall Insulation</v>
      </c>
      <c r="H4" s="4" t="str">
        <f>H2&amp;": "&amp;H3</f>
        <v>Virgin Loft Insulation: Number of Measures</v>
      </c>
      <c r="I4" s="73" t="str">
        <f>H2</f>
        <v>Virgin Loft Insulation</v>
      </c>
      <c r="J4" s="4" t="str">
        <f>J2&amp;": "&amp;J3</f>
        <v>Top-up Loft Insulation: Number of Measures</v>
      </c>
      <c r="K4" s="73" t="str">
        <f>J2</f>
        <v>Top-up Loft Insulation</v>
      </c>
      <c r="L4" s="4" t="str">
        <f>L2&amp;": "&amp;L3</f>
        <v>Single to Double Glazing: Number of Measures</v>
      </c>
      <c r="M4" s="73" t="str">
        <f>L2</f>
        <v>Single to Double Glazing</v>
      </c>
      <c r="N4" s="4" t="str">
        <f>N2&amp;": "&amp;N3</f>
        <v>Double to Triple Glazing: Number of Measures</v>
      </c>
      <c r="O4" s="73" t="str">
        <f>N2</f>
        <v>Double to Triple Glazing</v>
      </c>
      <c r="P4" s="4" t="str">
        <f>P2&amp;": "&amp;P3</f>
        <v>Current to Improved Draught proofing: Number of Measures</v>
      </c>
      <c r="Q4" s="73" t="str">
        <f>P2</f>
        <v>Current to Improved Draught proofing</v>
      </c>
      <c r="R4" s="4" t="str">
        <f>R2&amp;": "&amp;R3</f>
        <v>Improved to Advanced Draught proofing: Number of Measures</v>
      </c>
      <c r="S4" s="73" t="str">
        <f>R2</f>
        <v>Improved to Advanced Draught proofing</v>
      </c>
      <c r="T4" s="4" t="str">
        <f>T2&amp;": "&amp;T3</f>
        <v>MVHR: Number of Measures</v>
      </c>
      <c r="U4" s="73" t="str">
        <f>T2</f>
        <v>MVHR</v>
      </c>
      <c r="V4" s="4" t="str">
        <f>V2&amp;": "&amp;V3</f>
        <v>Insulation to tanks and Primary Circuits: Number of Measures</v>
      </c>
      <c r="W4" s="73" t="str">
        <f>V2</f>
        <v>Insulation to tanks and Primary Circuits</v>
      </c>
      <c r="X4" s="4" t="str">
        <f>X2&amp;": "&amp;X3</f>
        <v>Lighting Replacements: Number of Measures</v>
      </c>
      <c r="Y4" s="73" t="str">
        <f>X2</f>
        <v>Lighting Replacements</v>
      </c>
      <c r="Z4" s="4" t="str">
        <f>Z2&amp;": "&amp;Z3</f>
        <v>Appliances: Fridges and Freezers: Number of Measures</v>
      </c>
      <c r="AA4" s="73" t="str">
        <f>Z2</f>
        <v>Appliances: Fridges and Freezers</v>
      </c>
      <c r="AB4" s="4" t="str">
        <f>AB2&amp;": "&amp;AB3</f>
        <v>Appliances: Dishwashers: Number of Measures</v>
      </c>
      <c r="AC4" s="73" t="str">
        <f>AB2</f>
        <v>Appliances: Dishwashers</v>
      </c>
      <c r="AD4" s="4" t="str">
        <f>AD2&amp;": "&amp;AD3</f>
        <v>Appliances: Laundry: Number of Measures</v>
      </c>
      <c r="AE4" s="73" t="str">
        <f>AD2</f>
        <v>Appliances: Laundry</v>
      </c>
      <c r="AF4" s="4" t="str">
        <f>AF2&amp;": "&amp;AF3</f>
        <v>Appliances: Cooking: Number of Measures</v>
      </c>
      <c r="AG4" s="73" t="str">
        <f>AF2</f>
        <v>Appliances: Cooking</v>
      </c>
      <c r="AH4" s="4" t="str">
        <f>AH2&amp;": "&amp;AH3</f>
        <v>Appliances: Audio-Visual: Number of Measures</v>
      </c>
      <c r="AI4" s="73" t="str">
        <f>AH2</f>
        <v>Appliances: Audio-Visual</v>
      </c>
      <c r="AJ4" s="4" t="str">
        <f>AJ2&amp;": "&amp;AJ3</f>
        <v>Appliances: Computers: Number of Measures</v>
      </c>
      <c r="AK4" s="73" t="str">
        <f>AJ2</f>
        <v>Appliances: Computers</v>
      </c>
      <c r="AL4" s="4" t="str">
        <f>AL2&amp;": "&amp;AL3</f>
        <v>Hot Water Measures: Number of Measures</v>
      </c>
      <c r="AM4" s="73" t="str">
        <f>AL2</f>
        <v>Hot Water Measures</v>
      </c>
      <c r="AN4" s="4" t="str">
        <f>AN2&amp;": "&amp;AN3</f>
        <v>Turning Down Thermostat 1oC: Number of Measures</v>
      </c>
      <c r="AO4" s="73" t="str">
        <f>AN2</f>
        <v>Turning Down Thermostat 1oC</v>
      </c>
      <c r="AP4" s="57"/>
      <c r="AQ4" s="57"/>
    </row>
    <row r="5" spans="2:43">
      <c r="B5" s="5" t="s">
        <v>28</v>
      </c>
      <c r="C5" s="11">
        <f>'current domestic energy'!C3-E5-G5-I5-K5-M5-O5-Q5-S5-U5-W5-Y5-AA5-AC5-AE5-AO5-AG5-AI5-AK5-AM5</f>
        <v>356.70438762203617</v>
      </c>
      <c r="D5" s="11">
        <f>'cavity wall insulation'!L4</f>
        <v>6088.2603838709929</v>
      </c>
      <c r="E5" s="11">
        <f>'cavity wall insulation'!M4</f>
        <v>18.369751158231445</v>
      </c>
      <c r="F5" s="11">
        <f>'solid wall insulation'!I4</f>
        <v>11253.124308063692</v>
      </c>
      <c r="G5" s="11">
        <f>'solid wall insulation'!J4</f>
        <v>117.01794135001578</v>
      </c>
      <c r="H5" s="11">
        <f>'loft insulation'!M4</f>
        <v>629.4203895000004</v>
      </c>
      <c r="I5" s="11">
        <f>'loft insulation'!N4</f>
        <v>2.4417170282327603</v>
      </c>
      <c r="J5" s="11">
        <f>'loft insulation'!O4</f>
        <v>16159.621982189999</v>
      </c>
      <c r="K5" s="11">
        <f>'loft insulation'!P4</f>
        <v>8.7066928783351294</v>
      </c>
      <c r="L5" s="11">
        <f>glazing!I4</f>
        <v>8346.1619593400046</v>
      </c>
      <c r="M5" s="11">
        <f>glazing!J4</f>
        <v>13.798211453309744</v>
      </c>
      <c r="N5" s="11">
        <f>glazing!K4</f>
        <v>36314.999999999942</v>
      </c>
      <c r="O5" s="11">
        <f>glazing!L4</f>
        <v>41.815917487684658</v>
      </c>
      <c r="P5" s="11">
        <f>draughtproofing!C4</f>
        <v>8086.5798329573854</v>
      </c>
      <c r="Q5" s="11">
        <f>draughtproofing!D4</f>
        <v>26.846377490032257</v>
      </c>
      <c r="R5" s="11">
        <f>P5</f>
        <v>8086.5798329573854</v>
      </c>
      <c r="S5" s="11">
        <f>draughtproofing!F4</f>
        <v>84.392704095247026</v>
      </c>
      <c r="T5" s="11">
        <f>MVHR!C4</f>
        <v>36314.999994599901</v>
      </c>
      <c r="U5" s="11">
        <f>MVHR!D4</f>
        <v>25.380275895821203</v>
      </c>
      <c r="V5" s="11">
        <f>'tank insulation'!C4</f>
        <v>1559.7425350998617</v>
      </c>
      <c r="W5" s="11">
        <f>'tank insulation'!D4</f>
        <v>0.84037852106673594</v>
      </c>
      <c r="X5" s="11">
        <f>lighting!C4</f>
        <v>36315</v>
      </c>
      <c r="Y5" s="11">
        <f>lighting!D4</f>
        <v>10.191011085675001</v>
      </c>
      <c r="Z5" s="11">
        <f>'appliances white goods'!C3</f>
        <v>35988.165000000001</v>
      </c>
      <c r="AA5" s="11">
        <f>'appliances white goods'!D3</f>
        <v>8.1563197201269926</v>
      </c>
      <c r="AB5" s="11">
        <f>'appliances white goods'!E3</f>
        <v>14243.582151394421</v>
      </c>
      <c r="AC5" s="11">
        <f>'appliances white goods'!F3</f>
        <v>1.1907634678565735</v>
      </c>
      <c r="AD5" s="11">
        <f>'appliances white goods'!G3</f>
        <v>31920.884999999998</v>
      </c>
      <c r="AE5" s="11">
        <f>'appliances white goods'!H3</f>
        <v>3.1896658192858558</v>
      </c>
      <c r="AF5" s="11">
        <f>'appliances cooking'!C4</f>
        <v>36315</v>
      </c>
      <c r="AG5" s="11">
        <f>'appliances cooking'!D4</f>
        <v>1.5627533201354595</v>
      </c>
      <c r="AH5" s="11">
        <f>'appliances AV'!C4</f>
        <v>36315</v>
      </c>
      <c r="AI5" s="11">
        <f>'appliances AV'!D4</f>
        <v>3.7016726068320924</v>
      </c>
      <c r="AJ5" s="11">
        <f>'appliances computer'!C4</f>
        <v>36315</v>
      </c>
      <c r="AK5" s="11">
        <f>'appliances computer'!D4</f>
        <v>3.235044453069877</v>
      </c>
      <c r="AL5" s="11">
        <f>'hot water behaviour'!C4</f>
        <v>36315</v>
      </c>
      <c r="AM5" s="11">
        <f>'hot water behaviour'!D4</f>
        <v>4.1387032158409482</v>
      </c>
      <c r="AN5" s="11">
        <f>'reduce thermostat'!C4</f>
        <v>29705.670000000002</v>
      </c>
      <c r="AO5" s="11">
        <f>'reduce thermostat'!D4</f>
        <v>38.412504310344829</v>
      </c>
    </row>
    <row r="6" spans="2:43">
      <c r="B6" s="5" t="s">
        <v>29</v>
      </c>
      <c r="C6" s="11">
        <f>'current domestic energy'!C4-E6-G6-I6-K6-M6-O6-Q6-S6-U6-W6-Y6-AA6-AC6-AE6-AO6-AG6-AI6-AK6-AM6</f>
        <v>243.33457703377766</v>
      </c>
      <c r="D6" s="11">
        <f>'cavity wall insulation'!L5</f>
        <v>4510.6541634521982</v>
      </c>
      <c r="E6" s="11">
        <f>'cavity wall insulation'!M5</f>
        <v>13.609732389726462</v>
      </c>
      <c r="F6" s="11">
        <f>'solid wall insulation'!I5</f>
        <v>7807.5165895293158</v>
      </c>
      <c r="G6" s="11">
        <f>'solid wall insulation'!J5</f>
        <v>81.188076604480486</v>
      </c>
      <c r="H6" s="11">
        <f>'loft insulation'!M5</f>
        <v>421.57384628000045</v>
      </c>
      <c r="I6" s="11">
        <f>'loft insulation'!N5</f>
        <v>1.6354157829827605</v>
      </c>
      <c r="J6" s="11">
        <f>'loft insulation'!O5</f>
        <v>9856.8438366700011</v>
      </c>
      <c r="K6" s="11">
        <f>'loft insulation'!P5</f>
        <v>5.310799480964441</v>
      </c>
      <c r="L6" s="11">
        <f>glazing!I5</f>
        <v>5488.2054465100064</v>
      </c>
      <c r="M6" s="11">
        <f>glazing!J5</f>
        <v>9.0733225186705617</v>
      </c>
      <c r="N6" s="11">
        <f>glazing!K5</f>
        <v>21633.999999999989</v>
      </c>
      <c r="O6" s="11">
        <f>glazing!L5</f>
        <v>24.911071428571415</v>
      </c>
      <c r="P6" s="11">
        <f>draughtproofing!C5</f>
        <v>4817.4326891422297</v>
      </c>
      <c r="Q6" s="11">
        <f>draughtproofing!D5</f>
        <v>15.993240551269663</v>
      </c>
      <c r="R6" s="11">
        <f t="shared" ref="R6:R8" si="0">P6</f>
        <v>4817.4326891422297</v>
      </c>
      <c r="S6" s="11">
        <f>draughtproofing!F5</f>
        <v>50.275416780850186</v>
      </c>
      <c r="T6" s="11">
        <f>MVHR!C5</f>
        <v>21633.999999200001</v>
      </c>
      <c r="U6" s="11">
        <f>MVHR!D5</f>
        <v>15.119837224054534</v>
      </c>
      <c r="V6" s="11">
        <f>'tank insulation'!C5</f>
        <v>929.18821435633777</v>
      </c>
      <c r="W6" s="11">
        <f>'tank insulation'!D5</f>
        <v>0.50064020170061307</v>
      </c>
      <c r="X6" s="11">
        <f>lighting!C5</f>
        <v>21634</v>
      </c>
      <c r="Y6" s="11">
        <f>lighting!D5</f>
        <v>6.0711092889300007</v>
      </c>
      <c r="Z6" s="11">
        <f>'appliances white goods'!C4</f>
        <v>21439.293999999998</v>
      </c>
      <c r="AA6" s="11">
        <f>'appliances white goods'!D4</f>
        <v>4.8589789570488042</v>
      </c>
      <c r="AB6" s="11">
        <f>'appliances white goods'!E4</f>
        <v>8485.3547091633463</v>
      </c>
      <c r="AC6" s="11">
        <f>'appliances white goods'!F4</f>
        <v>0.70937565368605571</v>
      </c>
      <c r="AD6" s="11">
        <f>'appliances white goods'!G4</f>
        <v>19016.286</v>
      </c>
      <c r="AE6" s="11">
        <f>'appliances white goods'!H4</f>
        <v>1.9001853320784858</v>
      </c>
      <c r="AF6" s="11">
        <f>'appliances cooking'!C5</f>
        <v>21634</v>
      </c>
      <c r="AG6" s="11">
        <f>'appliances cooking'!D5</f>
        <v>0.93098183471872598</v>
      </c>
      <c r="AH6" s="11">
        <f>'appliances AV'!C5</f>
        <v>21634</v>
      </c>
      <c r="AI6" s="11">
        <f>'appliances AV'!D5</f>
        <v>2.2052040527662258</v>
      </c>
      <c r="AJ6" s="11">
        <f>'appliances computer'!C5</f>
        <v>21634</v>
      </c>
      <c r="AK6" s="11">
        <f>'appliances computer'!D5</f>
        <v>1.927218826868063</v>
      </c>
      <c r="AL6" s="11">
        <f>'hot water behaviour'!C5</f>
        <v>21634</v>
      </c>
      <c r="AM6" s="11">
        <f>'hot water behaviour'!D5</f>
        <v>2.4655570803112505</v>
      </c>
      <c r="AN6" s="11">
        <f>'reduce thermostat'!C5</f>
        <v>17069.226000000002</v>
      </c>
      <c r="AO6" s="11">
        <f>'reduce thermostat'!D5</f>
        <v>22.072275000000005</v>
      </c>
    </row>
    <row r="7" spans="2:43">
      <c r="B7" s="5" t="s">
        <v>30</v>
      </c>
      <c r="C7" s="11">
        <f>'current domestic energy'!C5-E7-G7-I7-K7-M7-O7-Q7-S7-U7-W7-Y7-AA7-AC7-AE7-AO7-AG7-AI7-AK7-AM7</f>
        <v>164.99295768930878</v>
      </c>
      <c r="D7" s="11">
        <f>'cavity wall insulation'!L6</f>
        <v>2389.7858691100409</v>
      </c>
      <c r="E7" s="11">
        <f>'cavity wall insulation'!M6</f>
        <v>7.2105608119699518</v>
      </c>
      <c r="F7" s="11">
        <f>'solid wall insulation'!I6</f>
        <v>4770.928282985451</v>
      </c>
      <c r="G7" s="11">
        <f>'solid wall insulation'!J6</f>
        <v>49.611484839234485</v>
      </c>
      <c r="H7" s="11">
        <f>'loft insulation'!M6</f>
        <v>306.72192838999985</v>
      </c>
      <c r="I7" s="11">
        <f>'loft insulation'!N6</f>
        <v>1.1898695497887926</v>
      </c>
      <c r="J7" s="11">
        <f>'loft insulation'!O6</f>
        <v>5823.4224677800057</v>
      </c>
      <c r="K7" s="11">
        <f>'loft insulation'!P6</f>
        <v>3.137619864105607</v>
      </c>
      <c r="L7" s="11">
        <f>glazing!I6</f>
        <v>3674.0329622800032</v>
      </c>
      <c r="M7" s="11">
        <f>glazing!J6</f>
        <v>6.0740594235938268</v>
      </c>
      <c r="N7" s="11">
        <f>glazing!K6</f>
        <v>12602</v>
      </c>
      <c r="O7" s="11">
        <f>glazing!L6</f>
        <v>14.510923645320196</v>
      </c>
      <c r="P7" s="11">
        <f>draughtproofing!C6</f>
        <v>2806.1979637871118</v>
      </c>
      <c r="Q7" s="11">
        <f>draughtproofing!D6</f>
        <v>9.3162067776231989</v>
      </c>
      <c r="R7" s="11">
        <f t="shared" si="0"/>
        <v>2806.1979637871118</v>
      </c>
      <c r="S7" s="11">
        <f>draughtproofing!F6</f>
        <v>29.285883436825088</v>
      </c>
      <c r="T7" s="11">
        <f>MVHR!C6</f>
        <v>12601.999999850001</v>
      </c>
      <c r="U7" s="11">
        <f>MVHR!D6</f>
        <v>8.8074414672419898</v>
      </c>
      <c r="V7" s="11">
        <f>'tank insulation'!C6</f>
        <v>541.26051018390353</v>
      </c>
      <c r="W7" s="11">
        <f>'tank insulation'!D6</f>
        <v>0.29162743005598257</v>
      </c>
      <c r="X7" s="11">
        <f>lighting!C6</f>
        <v>12602</v>
      </c>
      <c r="Y7" s="11">
        <f>lighting!D6</f>
        <v>3.5364758832900001</v>
      </c>
      <c r="Z7" s="11">
        <f>'appliances white goods'!C5</f>
        <v>12488.582</v>
      </c>
      <c r="AA7" s="11">
        <f>'appliances white goods'!D5</f>
        <v>2.8303990393237051</v>
      </c>
      <c r="AB7" s="11">
        <f>'appliances white goods'!E5</f>
        <v>4942.7956015936252</v>
      </c>
      <c r="AC7" s="11">
        <f>'appliances white goods'!F5</f>
        <v>0.41321771229322701</v>
      </c>
      <c r="AD7" s="11">
        <f>'appliances white goods'!G5</f>
        <v>11077.157999999999</v>
      </c>
      <c r="AE7" s="11">
        <f>'appliances white goods'!H5</f>
        <v>1.1068750834266929</v>
      </c>
      <c r="AF7" s="11">
        <f>'appliances cooking'!C6</f>
        <v>12602</v>
      </c>
      <c r="AG7" s="11">
        <f>'appliances cooking'!D6</f>
        <v>0.54230531021195261</v>
      </c>
      <c r="AH7" s="11">
        <f>'appliances AV'!C6</f>
        <v>12602</v>
      </c>
      <c r="AI7" s="11">
        <f>'appliances AV'!D6</f>
        <v>1.2845512375409067</v>
      </c>
      <c r="AJ7" s="11">
        <f>'appliances computer'!C6</f>
        <v>12602</v>
      </c>
      <c r="AK7" s="11">
        <f>'appliances computer'!D6</f>
        <v>1.1226223378104525</v>
      </c>
      <c r="AL7" s="11">
        <f>'hot water behaviour'!C6</f>
        <v>12602</v>
      </c>
      <c r="AM7" s="11">
        <f>'hot water behaviour'!D6</f>
        <v>1.4362092228012562</v>
      </c>
      <c r="AN7" s="11">
        <f>'reduce thermostat'!C6</f>
        <v>9993.3860000000004</v>
      </c>
      <c r="AO7" s="11">
        <f>'reduce thermostat'!D6</f>
        <v>12.922481896551725</v>
      </c>
    </row>
    <row r="8" spans="2:43">
      <c r="B8" s="8" t="s">
        <v>31</v>
      </c>
      <c r="C8" s="11">
        <f>'current domestic energy'!C6-E8-G8-I8-K8-M8-O8-Q8-S8-U8-W8-Y8-AA8-AC8-AE8-AO8-AG8-AI8-AK8-AM8</f>
        <v>662.64400934932871</v>
      </c>
      <c r="D8" s="11">
        <f>'cavity wall insulation'!L7</f>
        <v>11511.858913176398</v>
      </c>
      <c r="E8" s="11">
        <f>'cavity wall insulation'!M7</f>
        <v>34.734057065618451</v>
      </c>
      <c r="F8" s="11">
        <f>'solid wall insulation'!I7</f>
        <v>21193.922029309</v>
      </c>
      <c r="G8" s="11">
        <f>'solid wall insulation'!J7</f>
        <v>220.38938317115503</v>
      </c>
      <c r="H8" s="11">
        <f>'loft insulation'!M7</f>
        <v>1224.8168715100007</v>
      </c>
      <c r="I8" s="11">
        <f>'loft insulation'!N7</f>
        <v>4.7514447601681065</v>
      </c>
      <c r="J8" s="11">
        <f>'loft insulation'!O7</f>
        <v>28572.572603020002</v>
      </c>
      <c r="K8" s="11">
        <f>'loft insulation'!P7</f>
        <v>15.394705066282331</v>
      </c>
      <c r="L8" s="11">
        <f>glazing!I7</f>
        <v>15470.518083240011</v>
      </c>
      <c r="M8" s="11">
        <f>glazing!J7</f>
        <v>25.576484238472432</v>
      </c>
      <c r="N8" s="11">
        <f>glazing!K7</f>
        <v>63363.999999999927</v>
      </c>
      <c r="O8" s="11">
        <f>glazing!L7</f>
        <v>72.962241379310257</v>
      </c>
      <c r="P8" s="11">
        <f>draughtproofing!C7</f>
        <v>14109.818106443943</v>
      </c>
      <c r="Q8" s="11">
        <f>draughtproofing!D7</f>
        <v>46.842733396073356</v>
      </c>
      <c r="R8" s="11">
        <f t="shared" si="0"/>
        <v>14109.818106443943</v>
      </c>
      <c r="S8" s="11">
        <f>draughtproofing!F7</f>
        <v>147.25208047063839</v>
      </c>
      <c r="T8" s="11">
        <f>MVHR!C7</f>
        <v>63363.999993159901</v>
      </c>
      <c r="U8" s="11">
        <f>MVHR!D7</f>
        <v>44.284615225894349</v>
      </c>
      <c r="V8" s="11">
        <f>'tank insulation'!C7</f>
        <v>2721.5069804231757</v>
      </c>
      <c r="W8" s="11">
        <f>'tank insulation'!D7</f>
        <v>1.4663291920383492</v>
      </c>
      <c r="X8" s="11">
        <f>lighting!C7</f>
        <v>63364</v>
      </c>
      <c r="Y8" s="11">
        <f>lighting!D7</f>
        <v>17.78172177978</v>
      </c>
      <c r="Z8" s="11">
        <f>'appliances white goods'!C6</f>
        <v>62793.724000000002</v>
      </c>
      <c r="AA8" s="11">
        <f>'appliances white goods'!D6</f>
        <v>14.231503311197212</v>
      </c>
      <c r="AB8" s="11">
        <f>'appliances white goods'!E6</f>
        <v>24852.824988047807</v>
      </c>
      <c r="AC8" s="11">
        <f>'appliances white goods'!F6</f>
        <v>2.0776961690007965</v>
      </c>
      <c r="AD8" s="11">
        <f>'appliances white goods'!G6</f>
        <v>55696.955999999998</v>
      </c>
      <c r="AE8" s="11">
        <f>'appliances white goods'!H6</f>
        <v>5.5654684007497996</v>
      </c>
      <c r="AF8" s="11">
        <f>'appliances cooking'!C7</f>
        <v>63364</v>
      </c>
      <c r="AG8" s="11">
        <f>'appliances cooking'!D7</f>
        <v>2.7267603298103609</v>
      </c>
      <c r="AH8" s="11">
        <f>'appliances AV'!C7</f>
        <v>63364</v>
      </c>
      <c r="AI8" s="11">
        <f>'appliances AV'!D7</f>
        <v>6.4588402329425501</v>
      </c>
      <c r="AJ8" s="11">
        <f>'appliances computer'!C7</f>
        <v>63364</v>
      </c>
      <c r="AK8" s="11">
        <f>'appliances computer'!D7</f>
        <v>5.6446470253151499</v>
      </c>
      <c r="AL8" s="11">
        <f>'hot water behaviour'!C7</f>
        <v>63364</v>
      </c>
      <c r="AM8" s="11">
        <f>'hot water behaviour'!D7</f>
        <v>7.2213903502284404</v>
      </c>
      <c r="AN8" s="11">
        <f>'reduce thermostat'!C7</f>
        <v>51198.112000000001</v>
      </c>
      <c r="AO8" s="11">
        <f>'reduce thermostat'!D7</f>
        <v>66.204455172413802</v>
      </c>
    </row>
    <row r="10" spans="2:43" ht="75">
      <c r="B10" s="67" t="s">
        <v>386</v>
      </c>
      <c r="C10" s="4" t="str">
        <f>C4</f>
        <v>Baseline Energy</v>
      </c>
      <c r="D10" s="4" t="str">
        <f>E4</f>
        <v>Cavity Wall Insulation</v>
      </c>
      <c r="E10" s="4" t="str">
        <f>G4</f>
        <v>Solid Wall Insulation</v>
      </c>
      <c r="F10" s="4" t="str">
        <f>I4</f>
        <v>Virgin Loft Insulation</v>
      </c>
      <c r="G10" s="4" t="str">
        <f>K4</f>
        <v>Top-up Loft Insulation</v>
      </c>
      <c r="H10" s="4" t="str">
        <f>M4</f>
        <v>Single to Double Glazing</v>
      </c>
      <c r="I10" s="4" t="str">
        <f>O4</f>
        <v>Double to Triple Glazing</v>
      </c>
      <c r="J10" s="4" t="str">
        <f>Q4</f>
        <v>Current to Improved Draught proofing</v>
      </c>
      <c r="K10" s="4" t="str">
        <f>S4</f>
        <v>Improved to Advanced Draught proofing</v>
      </c>
      <c r="L10" s="4" t="str">
        <f>U4</f>
        <v>MVHR</v>
      </c>
      <c r="M10" s="4" t="str">
        <f>W4</f>
        <v>Insulation to tanks and Primary Circuits</v>
      </c>
      <c r="N10" s="4" t="str">
        <f>Y4</f>
        <v>Lighting Replacements</v>
      </c>
      <c r="O10" s="4" t="str">
        <f>AA4</f>
        <v>Appliances: Fridges and Freezers</v>
      </c>
      <c r="P10" s="4" t="str">
        <f>AC4</f>
        <v>Appliances: Dishwashers</v>
      </c>
      <c r="Q10" s="4" t="str">
        <f>AE4</f>
        <v>Appliances: Laundry</v>
      </c>
      <c r="R10" s="4" t="str">
        <f>AG4</f>
        <v>Appliances: Cooking</v>
      </c>
      <c r="S10" s="4" t="str">
        <f>AI4</f>
        <v>Appliances: Audio-Visual</v>
      </c>
      <c r="T10" s="4" t="str">
        <f>AK4</f>
        <v>Appliances: Computers</v>
      </c>
      <c r="U10" s="4" t="str">
        <f t="shared" ref="U10:U14" si="1">AM4</f>
        <v>Hot Water Measures</v>
      </c>
      <c r="V10" s="4" t="str">
        <f>AO4</f>
        <v>Turning Down Thermostat 1oC</v>
      </c>
    </row>
    <row r="11" spans="2:43">
      <c r="B11" s="5" t="s">
        <v>28</v>
      </c>
      <c r="C11" s="11" t="s">
        <v>626</v>
      </c>
      <c r="D11" s="11">
        <f t="shared" ref="D11:D14" si="2">E5</f>
        <v>18.369751158231445</v>
      </c>
      <c r="E11" s="11">
        <f t="shared" ref="E11:E14" si="3">G5</f>
        <v>117.01794135001578</v>
      </c>
      <c r="F11" s="11">
        <f t="shared" ref="F11:F14" si="4">I5</f>
        <v>2.4417170282327603</v>
      </c>
      <c r="G11" s="11">
        <f t="shared" ref="G11:G14" si="5">K5</f>
        <v>8.7066928783351294</v>
      </c>
      <c r="H11" s="11">
        <f t="shared" ref="H11:H14" si="6">M5</f>
        <v>13.798211453309744</v>
      </c>
      <c r="I11" s="11">
        <f t="shared" ref="I11:I14" si="7">O5</f>
        <v>41.815917487684658</v>
      </c>
      <c r="J11" s="11">
        <f t="shared" ref="J11:J14" si="8">Q5</f>
        <v>26.846377490032257</v>
      </c>
      <c r="K11" s="11">
        <f t="shared" ref="K11:K14" si="9">S5</f>
        <v>84.392704095247026</v>
      </c>
      <c r="L11" s="11">
        <f t="shared" ref="L11:L14" si="10">U5</f>
        <v>25.380275895821203</v>
      </c>
      <c r="M11" s="11">
        <f t="shared" ref="M11:M14" si="11">W5</f>
        <v>0.84037852106673594</v>
      </c>
      <c r="N11" s="11">
        <f t="shared" ref="N11:N14" si="12">Y5</f>
        <v>10.191011085675001</v>
      </c>
      <c r="O11" s="11">
        <f t="shared" ref="O11:O14" si="13">AA5</f>
        <v>8.1563197201269926</v>
      </c>
      <c r="P11" s="11">
        <f t="shared" ref="P11:P14" si="14">AC5</f>
        <v>1.1907634678565735</v>
      </c>
      <c r="Q11" s="11">
        <f t="shared" ref="Q11:Q14" si="15">AE5</f>
        <v>3.1896658192858558</v>
      </c>
      <c r="R11" s="11">
        <f>AG5</f>
        <v>1.5627533201354595</v>
      </c>
      <c r="S11" s="11">
        <f>AI5</f>
        <v>3.7016726068320924</v>
      </c>
      <c r="T11" s="11">
        <f>AK5</f>
        <v>3.235044453069877</v>
      </c>
      <c r="U11" s="11">
        <f t="shared" si="1"/>
        <v>4.1387032158409482</v>
      </c>
      <c r="V11" s="11">
        <f>AO5</f>
        <v>38.412504310344829</v>
      </c>
    </row>
    <row r="12" spans="2:43">
      <c r="B12" s="5" t="s">
        <v>29</v>
      </c>
      <c r="C12" s="11">
        <f t="shared" ref="C12:C14" si="16">C6</f>
        <v>243.33457703377766</v>
      </c>
      <c r="D12" s="11">
        <f t="shared" si="2"/>
        <v>13.609732389726462</v>
      </c>
      <c r="E12" s="11">
        <f t="shared" si="3"/>
        <v>81.188076604480486</v>
      </c>
      <c r="F12" s="11">
        <f t="shared" si="4"/>
        <v>1.6354157829827605</v>
      </c>
      <c r="G12" s="11">
        <f t="shared" si="5"/>
        <v>5.310799480964441</v>
      </c>
      <c r="H12" s="11">
        <f t="shared" si="6"/>
        <v>9.0733225186705617</v>
      </c>
      <c r="I12" s="11">
        <f t="shared" si="7"/>
        <v>24.911071428571415</v>
      </c>
      <c r="J12" s="11">
        <f t="shared" si="8"/>
        <v>15.993240551269663</v>
      </c>
      <c r="K12" s="11">
        <f t="shared" si="9"/>
        <v>50.275416780850186</v>
      </c>
      <c r="L12" s="11">
        <f t="shared" si="10"/>
        <v>15.119837224054534</v>
      </c>
      <c r="M12" s="11">
        <f t="shared" si="11"/>
        <v>0.50064020170061307</v>
      </c>
      <c r="N12" s="11">
        <f t="shared" si="12"/>
        <v>6.0711092889300007</v>
      </c>
      <c r="O12" s="11">
        <f t="shared" si="13"/>
        <v>4.8589789570488042</v>
      </c>
      <c r="P12" s="11">
        <f t="shared" si="14"/>
        <v>0.70937565368605571</v>
      </c>
      <c r="Q12" s="11">
        <f t="shared" si="15"/>
        <v>1.9001853320784858</v>
      </c>
      <c r="R12" s="11">
        <f>AG6</f>
        <v>0.93098183471872598</v>
      </c>
      <c r="S12" s="11">
        <f>AI6</f>
        <v>2.2052040527662258</v>
      </c>
      <c r="T12" s="11">
        <f>AK6</f>
        <v>1.927218826868063</v>
      </c>
      <c r="U12" s="11">
        <f t="shared" si="1"/>
        <v>2.4655570803112505</v>
      </c>
      <c r="V12" s="11">
        <f>AO6</f>
        <v>22.072275000000005</v>
      </c>
    </row>
    <row r="13" spans="2:43">
      <c r="B13" s="5" t="s">
        <v>30</v>
      </c>
      <c r="C13" s="11">
        <f t="shared" si="16"/>
        <v>164.99295768930878</v>
      </c>
      <c r="D13" s="11">
        <f t="shared" si="2"/>
        <v>7.2105608119699518</v>
      </c>
      <c r="E13" s="11">
        <f t="shared" si="3"/>
        <v>49.611484839234485</v>
      </c>
      <c r="F13" s="11">
        <f t="shared" si="4"/>
        <v>1.1898695497887926</v>
      </c>
      <c r="G13" s="11">
        <f t="shared" si="5"/>
        <v>3.137619864105607</v>
      </c>
      <c r="H13" s="11">
        <f t="shared" si="6"/>
        <v>6.0740594235938268</v>
      </c>
      <c r="I13" s="11">
        <f t="shared" si="7"/>
        <v>14.510923645320196</v>
      </c>
      <c r="J13" s="11">
        <f t="shared" si="8"/>
        <v>9.3162067776231989</v>
      </c>
      <c r="K13" s="11">
        <f t="shared" si="9"/>
        <v>29.285883436825088</v>
      </c>
      <c r="L13" s="11">
        <f t="shared" si="10"/>
        <v>8.8074414672419898</v>
      </c>
      <c r="M13" s="11">
        <f t="shared" si="11"/>
        <v>0.29162743005598257</v>
      </c>
      <c r="N13" s="11">
        <f t="shared" si="12"/>
        <v>3.5364758832900001</v>
      </c>
      <c r="O13" s="11">
        <f t="shared" si="13"/>
        <v>2.8303990393237051</v>
      </c>
      <c r="P13" s="11">
        <f t="shared" si="14"/>
        <v>0.41321771229322701</v>
      </c>
      <c r="Q13" s="11">
        <f t="shared" si="15"/>
        <v>1.1068750834266929</v>
      </c>
      <c r="R13" s="11">
        <f>AG7</f>
        <v>0.54230531021195261</v>
      </c>
      <c r="S13" s="11">
        <f>AI7</f>
        <v>1.2845512375409067</v>
      </c>
      <c r="T13" s="11">
        <f>AK7</f>
        <v>1.1226223378104525</v>
      </c>
      <c r="U13" s="11">
        <f t="shared" si="1"/>
        <v>1.4362092228012562</v>
      </c>
      <c r="V13" s="11">
        <f>AO7</f>
        <v>12.922481896551725</v>
      </c>
    </row>
    <row r="14" spans="2:43">
      <c r="B14" s="8" t="s">
        <v>31</v>
      </c>
      <c r="C14" s="11">
        <f t="shared" si="16"/>
        <v>662.64400934932871</v>
      </c>
      <c r="D14" s="11">
        <f t="shared" si="2"/>
        <v>34.734057065618451</v>
      </c>
      <c r="E14" s="11">
        <f t="shared" si="3"/>
        <v>220.38938317115503</v>
      </c>
      <c r="F14" s="11">
        <f t="shared" si="4"/>
        <v>4.7514447601681065</v>
      </c>
      <c r="G14" s="11">
        <f t="shared" si="5"/>
        <v>15.394705066282331</v>
      </c>
      <c r="H14" s="11">
        <f t="shared" si="6"/>
        <v>25.576484238472432</v>
      </c>
      <c r="I14" s="11">
        <f t="shared" si="7"/>
        <v>72.962241379310257</v>
      </c>
      <c r="J14" s="11">
        <f t="shared" si="8"/>
        <v>46.842733396073356</v>
      </c>
      <c r="K14" s="11">
        <f t="shared" si="9"/>
        <v>147.25208047063839</v>
      </c>
      <c r="L14" s="11">
        <f t="shared" si="10"/>
        <v>44.284615225894349</v>
      </c>
      <c r="M14" s="11">
        <f t="shared" si="11"/>
        <v>1.4663291920383492</v>
      </c>
      <c r="N14" s="11">
        <f t="shared" si="12"/>
        <v>17.78172177978</v>
      </c>
      <c r="O14" s="11">
        <f t="shared" si="13"/>
        <v>14.231503311197212</v>
      </c>
      <c r="P14" s="11">
        <f t="shared" si="14"/>
        <v>2.0776961690007965</v>
      </c>
      <c r="Q14" s="11">
        <f t="shared" si="15"/>
        <v>5.5654684007497996</v>
      </c>
      <c r="R14" s="11">
        <f>AG8</f>
        <v>2.7267603298103609</v>
      </c>
      <c r="S14" s="11">
        <f>AI8</f>
        <v>6.4588402329425501</v>
      </c>
      <c r="T14" s="11">
        <f>AK8</f>
        <v>5.6446470253151499</v>
      </c>
      <c r="U14" s="11">
        <f t="shared" si="1"/>
        <v>7.2213903502284404</v>
      </c>
      <c r="V14" s="11">
        <f>AO8</f>
        <v>66.204455172413802</v>
      </c>
    </row>
  </sheetData>
  <mergeCells count="20">
    <mergeCell ref="AD2:AE2"/>
    <mergeCell ref="P2:Q2"/>
    <mergeCell ref="R2:S2"/>
    <mergeCell ref="T2:U2"/>
    <mergeCell ref="V2:W2"/>
    <mergeCell ref="Z2:AA2"/>
    <mergeCell ref="AB2:AC2"/>
    <mergeCell ref="B2:B3"/>
    <mergeCell ref="X2:Y2"/>
    <mergeCell ref="D2:E2"/>
    <mergeCell ref="F2:G2"/>
    <mergeCell ref="H2:I2"/>
    <mergeCell ref="J2:K2"/>
    <mergeCell ref="L2:M2"/>
    <mergeCell ref="N2:O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T13"/>
  <sheetViews>
    <sheetView topLeftCell="A3" workbookViewId="0">
      <selection activeCell="P3" sqref="P3:T7"/>
    </sheetView>
  </sheetViews>
  <sheetFormatPr defaultRowHeight="15"/>
  <cols>
    <col min="2" max="2" width="17.7109375" customWidth="1"/>
  </cols>
  <sheetData>
    <row r="2" spans="2:20">
      <c r="D2" s="87" t="s">
        <v>234</v>
      </c>
      <c r="E2" s="87"/>
      <c r="F2" s="87"/>
      <c r="G2" s="87"/>
      <c r="H2" s="87"/>
      <c r="I2" s="87"/>
      <c r="J2" s="87"/>
    </row>
    <row r="3" spans="2:20" ht="90">
      <c r="B3" s="3"/>
      <c r="C3" s="4" t="s">
        <v>50</v>
      </c>
      <c r="D3" s="4" t="s">
        <v>54</v>
      </c>
      <c r="E3" s="4" t="s">
        <v>56</v>
      </c>
      <c r="F3" s="4" t="s">
        <v>58</v>
      </c>
      <c r="G3" s="4" t="s">
        <v>60</v>
      </c>
      <c r="H3" s="4" t="s">
        <v>62</v>
      </c>
      <c r="I3" s="4" t="s">
        <v>64</v>
      </c>
      <c r="J3" s="4" t="s">
        <v>27</v>
      </c>
      <c r="L3" s="51" t="s">
        <v>235</v>
      </c>
      <c r="M3" s="51" t="s">
        <v>243</v>
      </c>
      <c r="P3" s="51" t="s">
        <v>628</v>
      </c>
      <c r="Q3" s="51" t="s">
        <v>629</v>
      </c>
      <c r="R3" s="51" t="s">
        <v>630</v>
      </c>
      <c r="S3" s="51" t="s">
        <v>243</v>
      </c>
      <c r="T3" s="79" t="s">
        <v>631</v>
      </c>
    </row>
    <row r="4" spans="2:20">
      <c r="B4" s="5" t="s">
        <v>28</v>
      </c>
      <c r="C4" s="11">
        <v>10898.985549549972</v>
      </c>
      <c r="D4" s="11">
        <v>1081.5337324520895</v>
      </c>
      <c r="E4" s="11">
        <v>723.33484565678998</v>
      </c>
      <c r="F4" s="11">
        <v>441.11902460400063</v>
      </c>
      <c r="G4" s="11">
        <v>16.716321028249993</v>
      </c>
      <c r="H4" s="11">
        <v>2548.0212419378499</v>
      </c>
      <c r="I4" s="6">
        <v>0</v>
      </c>
      <c r="J4" s="11">
        <v>36314.999994599908</v>
      </c>
      <c r="L4" s="21">
        <f>C4-SUM(D4:I4)</f>
        <v>6088.2603838709929</v>
      </c>
      <c r="M4" s="53">
        <f>L4*$C$13/1000000</f>
        <v>18.369751158231445</v>
      </c>
      <c r="P4" s="17">
        <f>'EST HOME ANALYTICS'!C81</f>
        <v>1101.5549172443884</v>
      </c>
      <c r="Q4" s="17">
        <f>'EST HOME ANALYTICS'!C95</f>
        <v>1333.7347428803141</v>
      </c>
      <c r="R4" s="17">
        <f>(P4+Q4)</f>
        <v>2435.2896601247026</v>
      </c>
      <c r="S4" s="53">
        <f>R4*$C$13/1000000</f>
        <v>7.3478567331348792</v>
      </c>
      <c r="T4" s="20">
        <f>S4/M4</f>
        <v>0.39999761944746437</v>
      </c>
    </row>
    <row r="5" spans="2:20">
      <c r="B5" s="5" t="s">
        <v>29</v>
      </c>
      <c r="C5" s="11">
        <v>6878.0348857699964</v>
      </c>
      <c r="D5" s="11">
        <v>460.10725250133919</v>
      </c>
      <c r="E5" s="11">
        <v>299.08658235137051</v>
      </c>
      <c r="F5" s="11">
        <v>247.73363388200002</v>
      </c>
      <c r="G5" s="11">
        <v>11.712930365920005</v>
      </c>
      <c r="H5" s="11">
        <v>1348.740323217168</v>
      </c>
      <c r="I5" s="6">
        <v>0</v>
      </c>
      <c r="J5" s="11">
        <v>21633.99999919999</v>
      </c>
      <c r="L5" s="21">
        <f t="shared" ref="L5:L6" si="0">C5-SUM(D5:I5)</f>
        <v>4510.6541634521982</v>
      </c>
      <c r="M5" s="53">
        <f>L5*$C$13/1000000</f>
        <v>13.609732389726462</v>
      </c>
      <c r="P5" s="17">
        <f>'EST HOME ANALYTICS'!C82</f>
        <v>722.13325345594296</v>
      </c>
      <c r="Q5" s="17">
        <f>'EST HOME ANALYTICS'!C96</f>
        <v>697.7482642622017</v>
      </c>
      <c r="R5" s="17">
        <f t="shared" ref="R5:R7" si="1">(P5+Q5)</f>
        <v>1419.8815177181446</v>
      </c>
      <c r="S5" s="53">
        <f t="shared" ref="S5:S7" si="2">R5*$C$13/1000000</f>
        <v>4.2841252689771609</v>
      </c>
      <c r="T5" s="20">
        <f t="shared" ref="T5:T7" si="3">S5/M5</f>
        <v>0.3147839462450493</v>
      </c>
    </row>
    <row r="6" spans="2:20">
      <c r="B6" s="5" t="s">
        <v>30</v>
      </c>
      <c r="C6" s="11">
        <v>4045.8745173599941</v>
      </c>
      <c r="D6" s="11">
        <v>325.71899705674002</v>
      </c>
      <c r="E6" s="11">
        <v>259.53969240208966</v>
      </c>
      <c r="F6" s="11">
        <v>196.64087325800006</v>
      </c>
      <c r="G6" s="11">
        <v>3.1135741341299981</v>
      </c>
      <c r="H6" s="11">
        <v>871.07551139899351</v>
      </c>
      <c r="I6" s="6">
        <v>0</v>
      </c>
      <c r="J6" s="11">
        <v>12601.999999849982</v>
      </c>
      <c r="L6" s="21">
        <f t="shared" si="0"/>
        <v>2389.7858691100409</v>
      </c>
      <c r="M6" s="53">
        <f>L6*$C$13/1000000</f>
        <v>7.2105608119699518</v>
      </c>
      <c r="P6" s="17">
        <f>'EST HOME ANALYTICS'!C83</f>
        <v>445.91033535654429</v>
      </c>
      <c r="Q6" s="17">
        <f>'EST HOME ANALYTICS'!C97</f>
        <v>605.81994823995683</v>
      </c>
      <c r="R6" s="17">
        <f t="shared" si="1"/>
        <v>1051.7302835965011</v>
      </c>
      <c r="S6" s="53">
        <f t="shared" si="2"/>
        <v>3.1733241315411673</v>
      </c>
      <c r="T6" s="20">
        <f t="shared" si="3"/>
        <v>0.44009394196818424</v>
      </c>
    </row>
    <row r="7" spans="2:20">
      <c r="B7" s="8" t="s">
        <v>31</v>
      </c>
      <c r="C7" s="12">
        <v>19432.267378689958</v>
      </c>
      <c r="D7" s="12">
        <v>1690.9668006512784</v>
      </c>
      <c r="E7" s="12">
        <v>1136.1671914555102</v>
      </c>
      <c r="F7" s="12">
        <v>774.09503312600077</v>
      </c>
      <c r="G7" s="12">
        <v>29.567754620679995</v>
      </c>
      <c r="H7" s="12">
        <v>4289.6116856600911</v>
      </c>
      <c r="I7" s="9">
        <v>0</v>
      </c>
      <c r="J7" s="12">
        <v>63363.99999315988</v>
      </c>
      <c r="L7" s="21">
        <f>C7-SUM(D7:I7)</f>
        <v>11511.858913176398</v>
      </c>
      <c r="M7" s="53">
        <f>L7*$C$13/1000000</f>
        <v>34.734057065618451</v>
      </c>
      <c r="P7" s="17">
        <f>'EST HOME ANALYTICS'!C84</f>
        <v>2013.36788439315</v>
      </c>
      <c r="Q7" s="17">
        <f>'EST HOME ANALYTICS'!C98</f>
        <v>2302.1385124829885</v>
      </c>
      <c r="R7" s="17">
        <f t="shared" si="1"/>
        <v>4315.5063968761388</v>
      </c>
      <c r="S7" s="53">
        <f t="shared" si="2"/>
        <v>13.020924473333178</v>
      </c>
      <c r="T7" s="20">
        <f t="shared" si="3"/>
        <v>0.374874851179477</v>
      </c>
    </row>
    <row r="9" spans="2:20">
      <c r="B9" s="18" t="s">
        <v>137</v>
      </c>
    </row>
    <row r="10" spans="2:20">
      <c r="B10" t="s">
        <v>244</v>
      </c>
    </row>
    <row r="11" spans="2:20">
      <c r="B11" t="s">
        <v>142</v>
      </c>
      <c r="C11" s="16">
        <v>140</v>
      </c>
      <c r="D11" t="s">
        <v>237</v>
      </c>
    </row>
    <row r="12" spans="2:20">
      <c r="B12" t="s">
        <v>238</v>
      </c>
      <c r="C12">
        <f>'EST ASSUMPTIONS'!C7</f>
        <v>4.6399999999999997</v>
      </c>
      <c r="D12" t="s">
        <v>239</v>
      </c>
      <c r="E12" t="s">
        <v>240</v>
      </c>
    </row>
    <row r="13" spans="2:20">
      <c r="B13" t="s">
        <v>241</v>
      </c>
      <c r="C13" s="17">
        <f>C11/(C12/100)</f>
        <v>3017.2413793103451</v>
      </c>
      <c r="D13" t="s">
        <v>143</v>
      </c>
      <c r="E13" t="s">
        <v>242</v>
      </c>
    </row>
  </sheetData>
  <mergeCells count="1">
    <mergeCell ref="D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Q32"/>
  <sheetViews>
    <sheetView workbookViewId="0">
      <selection activeCell="B19" sqref="B19"/>
    </sheetView>
  </sheetViews>
  <sheetFormatPr defaultRowHeight="15"/>
  <cols>
    <col min="1" max="1" width="10.140625" customWidth="1"/>
    <col min="2" max="2" width="18.7109375" customWidth="1"/>
    <col min="3" max="3" width="10.140625" bestFit="1" customWidth="1"/>
    <col min="6" max="6" width="12.7109375" customWidth="1"/>
  </cols>
  <sheetData>
    <row r="3" spans="2:17" ht="60">
      <c r="B3" s="3"/>
      <c r="C3" s="4" t="s">
        <v>623</v>
      </c>
      <c r="D3" s="4" t="s">
        <v>27</v>
      </c>
      <c r="F3" s="4" t="s">
        <v>351</v>
      </c>
      <c r="I3" s="51" t="s">
        <v>251</v>
      </c>
      <c r="J3" s="51" t="s">
        <v>243</v>
      </c>
      <c r="M3" s="51" t="s">
        <v>628</v>
      </c>
      <c r="N3" s="51" t="s">
        <v>629</v>
      </c>
      <c r="O3" s="51" t="s">
        <v>630</v>
      </c>
      <c r="P3" s="51" t="s">
        <v>243</v>
      </c>
      <c r="Q3" s="79" t="s">
        <v>631</v>
      </c>
    </row>
    <row r="4" spans="2:17">
      <c r="B4" s="5" t="s">
        <v>28</v>
      </c>
      <c r="C4" s="11">
        <f>F29</f>
        <v>6442.3991423847137</v>
      </c>
      <c r="D4" s="11">
        <v>36314.999994599908</v>
      </c>
      <c r="F4" s="11">
        <f>SUM('cavity wall insulation'!D4:I4)</f>
        <v>4810.7251656789795</v>
      </c>
      <c r="I4" s="21">
        <f>(C4+F4)*$B$10</f>
        <v>11253.124308063692</v>
      </c>
      <c r="J4" s="53">
        <f>I4*$B$18/1000000</f>
        <v>117.01794135001578</v>
      </c>
      <c r="M4" s="17">
        <f>'EST HOME ANALYTICS'!E81+'EST HOME ANALYTICS'!K81</f>
        <v>1210.1446825891917</v>
      </c>
      <c r="N4" s="17">
        <f>'EST HOME ANALYTICS'!E95+'EST HOME ANALYTICS'!I95</f>
        <v>1561.3224730718475</v>
      </c>
      <c r="O4" s="17">
        <f>(M4+N4)</f>
        <v>2771.4671556610392</v>
      </c>
      <c r="P4" s="53">
        <f>O4*$B$18/1000000</f>
        <v>28.81967462513904</v>
      </c>
      <c r="Q4" s="20">
        <f>P4/J4</f>
        <v>0.24628423891799353</v>
      </c>
    </row>
    <row r="5" spans="2:17">
      <c r="B5" s="5" t="s">
        <v>29</v>
      </c>
      <c r="C5" s="11">
        <f t="shared" ref="C5:C7" si="0">F30</f>
        <v>5440.1358672115184</v>
      </c>
      <c r="D5" s="11">
        <v>21633.99999919999</v>
      </c>
      <c r="F5" s="11">
        <f>SUM('cavity wall insulation'!D5:I5)</f>
        <v>2367.3807223177978</v>
      </c>
      <c r="I5" s="21">
        <f t="shared" ref="I5:I7" si="1">(C5+F5)*$B$10</f>
        <v>7807.5165895293158</v>
      </c>
      <c r="J5" s="53">
        <f t="shared" ref="J5:J7" si="2">I5*$B$18/1000000</f>
        <v>81.188076604480486</v>
      </c>
      <c r="M5" s="17">
        <f>'EST HOME ANALYTICS'!E82+'EST HOME ANALYTICS'!K82</f>
        <v>862.10907285064502</v>
      </c>
      <c r="N5" s="17">
        <f>'EST HOME ANALYTICS'!E96+'EST HOME ANALYTICS'!I96</f>
        <v>917.3641386404795</v>
      </c>
      <c r="O5" s="17">
        <f t="shared" ref="O5:O7" si="3">(M5+N5)</f>
        <v>1779.4732114911244</v>
      </c>
      <c r="P5" s="53">
        <f t="shared" ref="P5:P7" si="4">O5*$B$18/1000000</f>
        <v>18.504220356561802</v>
      </c>
      <c r="Q5" s="20">
        <f t="shared" ref="Q5:Q7" si="5">P5/J5</f>
        <v>0.22791795458719635</v>
      </c>
    </row>
    <row r="6" spans="2:17">
      <c r="B6" s="5" t="s">
        <v>30</v>
      </c>
      <c r="C6" s="11">
        <f t="shared" si="0"/>
        <v>3114.8396347354974</v>
      </c>
      <c r="D6" s="11">
        <v>12601.999999849982</v>
      </c>
      <c r="F6" s="11">
        <f>SUM('cavity wall insulation'!D6:I6)</f>
        <v>1656.0886482499532</v>
      </c>
      <c r="I6" s="21">
        <f t="shared" si="1"/>
        <v>4770.928282985451</v>
      </c>
      <c r="J6" s="53">
        <f t="shared" si="2"/>
        <v>49.611484839234485</v>
      </c>
      <c r="M6" s="17">
        <f>'EST HOME ANALYTICS'!E83+'EST HOME ANALYTICS'!K83</f>
        <v>552.16912190532867</v>
      </c>
      <c r="N6" s="17">
        <f>'EST HOME ANALYTICS'!E97+'EST HOME ANALYTICS'!I97</f>
        <v>763.66688252370977</v>
      </c>
      <c r="O6" s="17">
        <f t="shared" si="3"/>
        <v>1315.8360044290384</v>
      </c>
      <c r="P6" s="53">
        <f t="shared" si="4"/>
        <v>13.682992933987308</v>
      </c>
      <c r="Q6" s="20">
        <f t="shared" si="5"/>
        <v>0.27580293108192405</v>
      </c>
    </row>
    <row r="7" spans="2:17">
      <c r="B7" s="8" t="s">
        <v>31</v>
      </c>
      <c r="C7" s="12">
        <f t="shared" si="0"/>
        <v>13273.513563795439</v>
      </c>
      <c r="D7" s="12">
        <v>63363.99999315988</v>
      </c>
      <c r="F7" s="12">
        <f>SUM('cavity wall insulation'!D7:I7)</f>
        <v>7920.4084655135603</v>
      </c>
      <c r="I7" s="21">
        <f t="shared" si="1"/>
        <v>21193.922029309</v>
      </c>
      <c r="J7" s="53">
        <f t="shared" si="2"/>
        <v>220.38938317115503</v>
      </c>
      <c r="M7" s="17">
        <f>'EST HOME ANALYTICS'!E84+'EST HOME ANALYTICS'!K84</f>
        <v>2323.3272808771767</v>
      </c>
      <c r="N7" s="17">
        <f>'EST HOME ANALYTICS'!E98+'EST HOME ANALYTICS'!I98</f>
        <v>2851.3759005822922</v>
      </c>
      <c r="O7" s="17">
        <f t="shared" si="3"/>
        <v>5174.7031814594684</v>
      </c>
      <c r="P7" s="53">
        <f t="shared" si="4"/>
        <v>53.810221660650726</v>
      </c>
      <c r="Q7" s="20">
        <f t="shared" si="5"/>
        <v>0.24415977251890375</v>
      </c>
    </row>
    <row r="9" spans="2:17">
      <c r="B9" s="18" t="s">
        <v>137</v>
      </c>
    </row>
    <row r="10" spans="2:17">
      <c r="B10" s="15">
        <v>1</v>
      </c>
      <c r="C10" t="s">
        <v>245</v>
      </c>
    </row>
    <row r="11" spans="2:17">
      <c r="B11" s="15">
        <v>1</v>
      </c>
      <c r="C11" t="s">
        <v>350</v>
      </c>
    </row>
    <row r="12" spans="2:17">
      <c r="B12" s="16">
        <v>460</v>
      </c>
      <c r="C12" t="s">
        <v>246</v>
      </c>
    </row>
    <row r="13" spans="2:17">
      <c r="B13" s="16">
        <v>490</v>
      </c>
      <c r="C13" t="s">
        <v>247</v>
      </c>
    </row>
    <row r="14" spans="2:17">
      <c r="B14" s="15">
        <v>0.75</v>
      </c>
      <c r="C14" t="s">
        <v>248</v>
      </c>
    </row>
    <row r="15" spans="2:17">
      <c r="B15" s="15">
        <v>0.25</v>
      </c>
      <c r="C15" t="s">
        <v>249</v>
      </c>
    </row>
    <row r="16" spans="2:17">
      <c r="B16" s="54">
        <f>(B10*B14*B13)+(B15*B10*B12)</f>
        <v>482.5</v>
      </c>
      <c r="C16" t="s">
        <v>250</v>
      </c>
    </row>
    <row r="17" spans="1:6">
      <c r="A17" t="s">
        <v>238</v>
      </c>
      <c r="B17">
        <f>'cavity wall insulation'!C12</f>
        <v>4.6399999999999997</v>
      </c>
      <c r="C17" t="s">
        <v>239</v>
      </c>
      <c r="D17" t="s">
        <v>240</v>
      </c>
    </row>
    <row r="18" spans="1:6">
      <c r="A18" t="s">
        <v>241</v>
      </c>
      <c r="B18" s="17">
        <f>B16/(B17/100)</f>
        <v>10398.706896551725</v>
      </c>
      <c r="C18" t="s">
        <v>143</v>
      </c>
      <c r="D18" t="s">
        <v>242</v>
      </c>
    </row>
    <row r="21" spans="1:6">
      <c r="B21" s="14" t="s">
        <v>611</v>
      </c>
    </row>
    <row r="22" spans="1:6">
      <c r="B22" t="s">
        <v>612</v>
      </c>
      <c r="C22">
        <v>374081</v>
      </c>
    </row>
    <row r="23" spans="1:6">
      <c r="B23" t="s">
        <v>613</v>
      </c>
      <c r="C23" s="15">
        <v>0.9</v>
      </c>
      <c r="D23" t="s">
        <v>614</v>
      </c>
    </row>
    <row r="24" spans="1:6">
      <c r="B24" t="s">
        <v>615</v>
      </c>
      <c r="C24">
        <f>C22*C23</f>
        <v>336672.9</v>
      </c>
    </row>
    <row r="25" spans="1:6">
      <c r="B25" t="s">
        <v>617</v>
      </c>
      <c r="C25" s="78">
        <v>22947500</v>
      </c>
      <c r="D25" t="s">
        <v>616</v>
      </c>
    </row>
    <row r="26" spans="1:6">
      <c r="B26" t="s">
        <v>618</v>
      </c>
      <c r="C26" s="70">
        <f>C24/C25</f>
        <v>1.4671441333478594E-2</v>
      </c>
    </row>
    <row r="27" spans="1:6">
      <c r="B27" t="s">
        <v>619</v>
      </c>
    </row>
    <row r="28" spans="1:6">
      <c r="C28" t="s">
        <v>620</v>
      </c>
      <c r="D28" t="s">
        <v>621</v>
      </c>
      <c r="E28" t="s">
        <v>622</v>
      </c>
      <c r="F28" t="s">
        <v>624</v>
      </c>
    </row>
    <row r="29" spans="1:6">
      <c r="B29" s="5" t="s">
        <v>28</v>
      </c>
      <c r="C29">
        <f>'EST HOME ANALYTICS'!K18</f>
        <v>36315</v>
      </c>
      <c r="D29" s="17">
        <f>'EST HOME ANALYTICS'!G25</f>
        <v>6975.1925344099891</v>
      </c>
      <c r="E29" s="52">
        <f>C29*$C$26</f>
        <v>532.79339202527512</v>
      </c>
      <c r="F29" s="52">
        <f>D29-E29</f>
        <v>6442.3991423847137</v>
      </c>
    </row>
    <row r="30" spans="1:6">
      <c r="B30" s="5" t="s">
        <v>29</v>
      </c>
      <c r="C30">
        <f>'EST HOME ANALYTICS'!K19</f>
        <v>21634</v>
      </c>
      <c r="D30" s="17">
        <f>'EST HOME ANALYTICS'!G26</f>
        <v>5757.5378290199942</v>
      </c>
      <c r="E30" s="52">
        <f t="shared" ref="E30:E32" si="6">C30*$C$26</f>
        <v>317.4019618084759</v>
      </c>
      <c r="F30" s="52">
        <f t="shared" ref="F30:F32" si="7">D30-E30</f>
        <v>5440.1358672115184</v>
      </c>
    </row>
    <row r="31" spans="1:6">
      <c r="B31" s="5" t="s">
        <v>30</v>
      </c>
      <c r="C31">
        <f>'EST HOME ANALYTICS'!K20</f>
        <v>12602</v>
      </c>
      <c r="D31" s="17">
        <f>'EST HOME ANALYTICS'!G27</f>
        <v>3299.7291384199948</v>
      </c>
      <c r="E31" s="52">
        <f t="shared" si="6"/>
        <v>184.88950368449724</v>
      </c>
      <c r="F31" s="52">
        <f t="shared" si="7"/>
        <v>3114.8396347354974</v>
      </c>
    </row>
    <row r="32" spans="1:6">
      <c r="B32" s="8" t="s">
        <v>31</v>
      </c>
      <c r="C32">
        <f>'EST HOME ANALYTICS'!K21</f>
        <v>63364</v>
      </c>
      <c r="D32" s="17">
        <f>'EST HOME ANALYTICS'!G28</f>
        <v>14203.154772449976</v>
      </c>
      <c r="E32" s="52">
        <f t="shared" si="6"/>
        <v>929.64120865453765</v>
      </c>
      <c r="F32" s="52">
        <f t="shared" si="7"/>
        <v>13273.513563795439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W16"/>
  <sheetViews>
    <sheetView workbookViewId="0">
      <selection activeCell="V13" sqref="V13"/>
    </sheetView>
  </sheetViews>
  <sheetFormatPr defaultRowHeight="15"/>
  <cols>
    <col min="1" max="1" width="13" customWidth="1"/>
    <col min="2" max="2" width="13.28515625" bestFit="1" customWidth="1"/>
  </cols>
  <sheetData>
    <row r="3" spans="1:23" ht="105">
      <c r="B3" s="3"/>
      <c r="C3" s="4" t="s">
        <v>66</v>
      </c>
      <c r="D3" s="4" t="s">
        <v>67</v>
      </c>
      <c r="E3" s="4" t="s">
        <v>68</v>
      </c>
      <c r="F3" s="4" t="s">
        <v>69</v>
      </c>
      <c r="G3" s="4" t="s">
        <v>70</v>
      </c>
      <c r="H3" s="4" t="s">
        <v>71</v>
      </c>
      <c r="I3" s="4" t="s">
        <v>72</v>
      </c>
      <c r="J3" s="4" t="s">
        <v>73</v>
      </c>
      <c r="K3" s="4" t="s">
        <v>27</v>
      </c>
      <c r="M3" s="51" t="s">
        <v>255</v>
      </c>
      <c r="N3" s="51" t="s">
        <v>256</v>
      </c>
      <c r="O3" s="51" t="s">
        <v>257</v>
      </c>
      <c r="P3" s="51" t="s">
        <v>258</v>
      </c>
      <c r="S3" s="51" t="s">
        <v>628</v>
      </c>
      <c r="T3" s="51" t="s">
        <v>629</v>
      </c>
      <c r="U3" s="51" t="s">
        <v>630</v>
      </c>
      <c r="V3" s="51" t="s">
        <v>243</v>
      </c>
      <c r="W3" s="79" t="s">
        <v>631</v>
      </c>
    </row>
    <row r="4" spans="1:23">
      <c r="B4" s="5" t="s">
        <v>28</v>
      </c>
      <c r="C4" s="11">
        <v>2214.7124762099993</v>
      </c>
      <c r="D4" s="7">
        <v>6.0986162083503041E-2</v>
      </c>
      <c r="E4" s="11">
        <v>629.4203895000004</v>
      </c>
      <c r="F4" s="7">
        <v>1.7332242584553393E-2</v>
      </c>
      <c r="G4" s="11">
        <v>16159.621982189999</v>
      </c>
      <c r="H4" s="7">
        <v>0.44498477161264316</v>
      </c>
      <c r="I4" s="11">
        <v>17311.245154519998</v>
      </c>
      <c r="J4" s="7">
        <v>0.47669682371930039</v>
      </c>
      <c r="K4" s="6">
        <v>36315.000002419998</v>
      </c>
      <c r="M4" s="21">
        <f>E4</f>
        <v>629.4203895000004</v>
      </c>
      <c r="N4" s="53">
        <f>M4*$B$15/1000000</f>
        <v>2.4417170282327603</v>
      </c>
      <c r="O4" s="21">
        <f>G4</f>
        <v>16159.621982189999</v>
      </c>
      <c r="P4" s="53">
        <f>O4*$B$16/1000000</f>
        <v>8.7066928783351294</v>
      </c>
      <c r="S4" s="17">
        <f>'EST HOME ANALYTICS'!I81</f>
        <v>64.795614847950432</v>
      </c>
      <c r="T4" s="17">
        <f>'EST HOME ANALYTICS'!G95</f>
        <v>74.48045547132881</v>
      </c>
      <c r="U4" s="17">
        <f>(S4+T4)</f>
        <v>139.27607031927926</v>
      </c>
      <c r="V4" s="53">
        <f>U4*$B$16/1000000</f>
        <v>7.504098616340478E-2</v>
      </c>
      <c r="W4" s="20">
        <f>V4/P4</f>
        <v>8.6187703197995336E-3</v>
      </c>
    </row>
    <row r="5" spans="1:23">
      <c r="B5" s="5" t="s">
        <v>29</v>
      </c>
      <c r="C5" s="11">
        <v>1198.4157821000003</v>
      </c>
      <c r="D5" s="7">
        <v>5.5395016271261747E-2</v>
      </c>
      <c r="E5" s="11">
        <v>421.57384628000045</v>
      </c>
      <c r="F5" s="7">
        <v>1.9486634290894506E-2</v>
      </c>
      <c r="G5" s="11">
        <v>9856.8438366700011</v>
      </c>
      <c r="H5" s="7">
        <v>0.45561818600120774</v>
      </c>
      <c r="I5" s="11">
        <v>10157.16653652999</v>
      </c>
      <c r="J5" s="7">
        <v>0.46950016343663603</v>
      </c>
      <c r="K5" s="6">
        <v>21634.000001579992</v>
      </c>
      <c r="M5" s="21">
        <f t="shared" ref="M5:M7" si="0">E5</f>
        <v>421.57384628000045</v>
      </c>
      <c r="N5" s="53">
        <f t="shared" ref="N5:N7" si="1">M5*$B$15/1000000</f>
        <v>1.6354157829827605</v>
      </c>
      <c r="O5" s="21">
        <f t="shared" ref="O5:O7" si="2">G5</f>
        <v>9856.8438366700011</v>
      </c>
      <c r="P5" s="53">
        <f t="shared" ref="P5:P7" si="3">O5*$B$16/1000000</f>
        <v>5.310799480964441</v>
      </c>
      <c r="S5" s="17">
        <f>'EST HOME ANALYTICS'!I82</f>
        <v>46.610584961448041</v>
      </c>
      <c r="T5" s="17">
        <f>'EST HOME ANALYTICS'!G96</f>
        <v>46.521750571871806</v>
      </c>
      <c r="U5" s="17">
        <f t="shared" ref="U5:U7" si="4">(S5+T5)</f>
        <v>93.132335533319846</v>
      </c>
      <c r="V5" s="53">
        <f t="shared" ref="V5:V7" si="5">U5*$B$16/1000000</f>
        <v>5.0179060093383542E-2</v>
      </c>
      <c r="W5" s="20">
        <f t="shared" ref="W5:W7" si="6">V5/P5</f>
        <v>9.4484945766152382E-3</v>
      </c>
    </row>
    <row r="6" spans="1:23">
      <c r="B6" s="5" t="s">
        <v>30</v>
      </c>
      <c r="C6" s="11">
        <v>666.61560321999991</v>
      </c>
      <c r="D6" s="7">
        <v>5.289760379144931E-2</v>
      </c>
      <c r="E6" s="11">
        <v>306.72192838999985</v>
      </c>
      <c r="F6" s="7">
        <v>2.4339146824273915E-2</v>
      </c>
      <c r="G6" s="11">
        <v>5823.4224677800057</v>
      </c>
      <c r="H6" s="7">
        <v>0.46210303647691264</v>
      </c>
      <c r="I6" s="11">
        <v>5805.2400051500081</v>
      </c>
      <c r="J6" s="7">
        <v>0.46066021290736436</v>
      </c>
      <c r="K6" s="6">
        <v>12602.00000454001</v>
      </c>
      <c r="M6" s="21">
        <f t="shared" si="0"/>
        <v>306.72192838999985</v>
      </c>
      <c r="N6" s="53">
        <f t="shared" si="1"/>
        <v>1.1898695497887926</v>
      </c>
      <c r="O6" s="21">
        <f t="shared" si="2"/>
        <v>5823.4224677800057</v>
      </c>
      <c r="P6" s="53">
        <f t="shared" si="3"/>
        <v>3.137619864105607</v>
      </c>
      <c r="S6" s="17">
        <f>'EST HOME ANALYTICS'!I83</f>
        <v>36.193118511569374</v>
      </c>
      <c r="T6" s="17">
        <f>'EST HOME ANALYTICS'!G97</f>
        <v>48.544477610680673</v>
      </c>
      <c r="U6" s="17">
        <f t="shared" si="4"/>
        <v>84.737596122250039</v>
      </c>
      <c r="V6" s="53">
        <f t="shared" si="5"/>
        <v>4.5656032393453692E-2</v>
      </c>
      <c r="W6" s="20">
        <f t="shared" si="6"/>
        <v>1.4551167563591441E-2</v>
      </c>
    </row>
    <row r="7" spans="1:23">
      <c r="B7" s="8" t="s">
        <v>31</v>
      </c>
      <c r="C7" s="12">
        <v>3668.0165953299993</v>
      </c>
      <c r="D7" s="10">
        <v>5.7888021512802729E-2</v>
      </c>
      <c r="E7" s="12">
        <v>1224.8168715100007</v>
      </c>
      <c r="F7" s="10">
        <v>1.9329854040869142E-2</v>
      </c>
      <c r="G7" s="12">
        <v>28572.572603020002</v>
      </c>
      <c r="H7" s="10">
        <v>0.45092753932072488</v>
      </c>
      <c r="I7" s="12">
        <v>29898.593933469994</v>
      </c>
      <c r="J7" s="10">
        <v>0.47185458512560313</v>
      </c>
      <c r="K7" s="9">
        <v>63364.000003330002</v>
      </c>
      <c r="M7" s="21">
        <f t="shared" si="0"/>
        <v>1224.8168715100007</v>
      </c>
      <c r="N7" s="53">
        <f t="shared" si="1"/>
        <v>4.7514447601681065</v>
      </c>
      <c r="O7" s="21">
        <f t="shared" si="2"/>
        <v>28572.572603020002</v>
      </c>
      <c r="P7" s="53">
        <f t="shared" si="3"/>
        <v>15.394705066282331</v>
      </c>
      <c r="S7" s="17">
        <f>'EST HOME ANALYTICS'!I84</f>
        <v>132.79465273741363</v>
      </c>
      <c r="T7" s="17">
        <f>'EST HOME ANALYTICS'!G98</f>
        <v>150.9512377315445</v>
      </c>
      <c r="U7" s="17">
        <f t="shared" si="4"/>
        <v>283.74589046895812</v>
      </c>
      <c r="V7" s="53">
        <f t="shared" si="5"/>
        <v>0.15288032891646453</v>
      </c>
      <c r="W7" s="20">
        <f t="shared" si="6"/>
        <v>9.930708529863613E-3</v>
      </c>
    </row>
    <row r="9" spans="1:23">
      <c r="B9" s="18" t="s">
        <v>137</v>
      </c>
    </row>
    <row r="10" spans="1:23">
      <c r="A10" t="s">
        <v>259</v>
      </c>
      <c r="B10" s="18"/>
    </row>
    <row r="11" spans="1:23">
      <c r="A11" t="s">
        <v>260</v>
      </c>
      <c r="B11" s="18"/>
    </row>
    <row r="12" spans="1:23">
      <c r="A12" t="s">
        <v>252</v>
      </c>
      <c r="B12" s="16">
        <v>180</v>
      </c>
    </row>
    <row r="13" spans="1:23">
      <c r="A13" t="s">
        <v>253</v>
      </c>
      <c r="B13" s="16">
        <v>25</v>
      </c>
    </row>
    <row r="14" spans="1:23">
      <c r="A14" t="s">
        <v>238</v>
      </c>
      <c r="B14">
        <f>'solid wall insulation'!B17</f>
        <v>4.6399999999999997</v>
      </c>
      <c r="C14" t="s">
        <v>239</v>
      </c>
      <c r="D14" t="s">
        <v>240</v>
      </c>
    </row>
    <row r="15" spans="1:23">
      <c r="A15" t="s">
        <v>252</v>
      </c>
      <c r="B15" s="17">
        <f>B12/(B14/100)</f>
        <v>3879.3103448275865</v>
      </c>
      <c r="C15" t="s">
        <v>254</v>
      </c>
    </row>
    <row r="16" spans="1:23">
      <c r="A16" t="s">
        <v>253</v>
      </c>
      <c r="B16" s="17">
        <f>B13/(B14/100)</f>
        <v>538.79310344827593</v>
      </c>
      <c r="C16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29" baseType="lpstr">
      <vt:lpstr>EST HOME ANALYTICS</vt:lpstr>
      <vt:lpstr>EST ASSUMPTIONS</vt:lpstr>
      <vt:lpstr>HRF</vt:lpstr>
      <vt:lpstr>degree days</vt:lpstr>
      <vt:lpstr>PIVOT</vt:lpstr>
      <vt:lpstr>summary</vt:lpstr>
      <vt:lpstr>cavity wall insulation</vt:lpstr>
      <vt:lpstr>solid wall insulation</vt:lpstr>
      <vt:lpstr>loft insulation</vt:lpstr>
      <vt:lpstr>glazing</vt:lpstr>
      <vt:lpstr>draughtproofing</vt:lpstr>
      <vt:lpstr>MVHR</vt:lpstr>
      <vt:lpstr>boiler replacement</vt:lpstr>
      <vt:lpstr>tank insulation</vt:lpstr>
      <vt:lpstr>lighting</vt:lpstr>
      <vt:lpstr>appliances white goods</vt:lpstr>
      <vt:lpstr>appliances cooking</vt:lpstr>
      <vt:lpstr>appliances AV</vt:lpstr>
      <vt:lpstr>appliances computer</vt:lpstr>
      <vt:lpstr>hot water behaviour</vt:lpstr>
      <vt:lpstr>reduce thermostat</vt:lpstr>
      <vt:lpstr>current domestic energy</vt:lpstr>
      <vt:lpstr>PIE</vt:lpstr>
      <vt:lpstr>DONUT</vt:lpstr>
      <vt:lpstr>GRAPH</vt:lpstr>
      <vt:lpstr>'EST ASSUMPTIONS'!eztoc11309_4</vt:lpstr>
      <vt:lpstr>'EST ASSUMPTIONS'!eztoc11309_7</vt:lpstr>
      <vt:lpstr>'EST ASSUMPTIONS'!heating</vt:lpstr>
      <vt:lpstr>'EST ASSUMPTIONS'!lighting</vt:lpstr>
    </vt:vector>
  </TitlesOfParts>
  <Company>University of Exeter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Lash</dc:creator>
  <cp:lastModifiedBy>Dan Lash</cp:lastModifiedBy>
  <dcterms:created xsi:type="dcterms:W3CDTF">2013-03-11T13:46:17Z</dcterms:created>
  <dcterms:modified xsi:type="dcterms:W3CDTF">2013-05-17T14:25:46Z</dcterms:modified>
</cp:coreProperties>
</file>