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Tables/pivotTable1.xml" ContentType="application/vnd.openxmlformats-officedocument.spreadsheetml.pivotTable+xml"/>
  <Override PartName="/xl/charts/chart2.xml" ContentType="application/vnd.openxmlformats-officedocument.drawingml.chart+xml"/>
  <Override PartName="/xl/drawings/drawing4.xml" ContentType="application/vnd.openxmlformats-officedocument.drawingml.chartshapes+xml"/>
  <Override PartName="/xl/pivotTables/pivotTable2.xml" ContentType="application/vnd.openxmlformats-officedocument.spreadsheetml.pivotTable+xml"/>
  <Override PartName="/xl/drawings/drawing5.xml" ContentType="application/vnd.openxmlformats-officedocument.drawing+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drawings/drawing1.xml" ContentType="application/vnd.openxmlformats-officedocument.drawing+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drawings/drawing11.xml" ContentType="application/vnd.openxmlformats-officedocument.drawing+xml"/>
  <Override PartName="/xl/calcChain.xml" ContentType="application/vnd.openxmlformats-officedocument.spreadsheetml.calcChain+xml"/>
  <Override PartName="/xl/chartsheets/sheet2.xml" ContentType="application/vnd.openxmlformats-officedocument.spreadsheetml.chartsheet+xml"/>
  <Override PartName="/xl/chartsheets/sheet3.xml" ContentType="application/vnd.openxmlformats-officedocument.spreadsheetml.chartsheet+xml"/>
  <Override PartName="/xl/worksheets/sheet19.xml" ContentType="application/vnd.openxmlformats-officedocument.spreadsheetml.worksheet+xml"/>
  <Override PartName="/xl/pivotCache/pivotCacheRecords3.xml" ContentType="application/vnd.openxmlformats-officedocument.spreadsheetml.pivotCacheRecords+xml"/>
  <Override PartName="/xl/sharedStrings.xml" ContentType="application/vnd.openxmlformats-officedocument.spreadsheetml.sharedStrings+xml"/>
  <Override PartName="/xl/drawings/drawing10.xml" ContentType="application/vnd.openxmlformats-officedocument.drawing+xml"/>
  <Override PartName="/xl/chartsheets/sheet1.xml" ContentType="application/vnd.openxmlformats-officedocument.spreadsheetml.chart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pivotTables/pivotTable3.xml" ContentType="application/vnd.openxmlformats-officedocument.spreadsheetml.pivotTable+xml"/>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PivotChartFilter="1" defaultThemeVersion="124226"/>
  <bookViews>
    <workbookView xWindow="240" yWindow="30" windowWidth="15150" windowHeight="8190" tabRatio="917"/>
  </bookViews>
  <sheets>
    <sheet name="key sources" sheetId="1" r:id="rId1"/>
    <sheet name="summary" sheetId="18" r:id="rId2"/>
    <sheet name="Graph" sheetId="21" r:id="rId3"/>
    <sheet name="PIVOT" sheetId="20" r:id="rId4"/>
    <sheet name="Graph2" sheetId="27" r:id="rId5"/>
    <sheet name="PIVOT2" sheetId="26" r:id="rId6"/>
    <sheet name="summary2" sheetId="22" r:id="rId7"/>
    <sheet name="graph3" sheetId="31" r:id="rId8"/>
    <sheet name="PIVOT3" sheetId="30" r:id="rId9"/>
    <sheet name="summary3" sheetId="28" r:id="rId10"/>
    <sheet name="summary of demand" sheetId="29" r:id="rId11"/>
    <sheet name="wood and waste" sheetId="16" r:id="rId12"/>
    <sheet name="pv" sheetId="3" r:id="rId13"/>
    <sheet name="wind" sheetId="4" r:id="rId14"/>
    <sheet name="hydro" sheetId="2" r:id="rId15"/>
    <sheet name="geothermal" sheetId="8" r:id="rId16"/>
    <sheet name="marine" sheetId="5" r:id="rId17"/>
    <sheet name="space heat calcs" sheetId="17" r:id="rId18"/>
    <sheet name="space heating" sheetId="14" r:id="rId19"/>
    <sheet name="roof solar" sheetId="10" r:id="rId20"/>
    <sheet name="micro wind" sheetId="11" r:id="rId21"/>
    <sheet name="RegenSW 2012 survey" sheetId="15" r:id="rId22"/>
  </sheets>
  <definedNames>
    <definedName name="_ftn1" localSheetId="11">'wood and waste'!$U$28</definedName>
    <definedName name="_ftn2" localSheetId="11">'wood and waste'!$U$29</definedName>
    <definedName name="_ftn3" localSheetId="11">'wood and waste'!$U$30</definedName>
    <definedName name="_ftnref1" localSheetId="11">'wood and waste'!$V$18</definedName>
    <definedName name="_ftnref2" localSheetId="11">'wood and waste'!$X$18</definedName>
    <definedName name="_ftnref3" localSheetId="11">'wood and waste'!$W$24</definedName>
    <definedName name="_Hlk277340305" localSheetId="13">wind!$B$36</definedName>
  </definedNames>
  <calcPr calcId="125725"/>
  <pivotCaches>
    <pivotCache cacheId="39" r:id="rId23"/>
    <pivotCache cacheId="43" r:id="rId24"/>
    <pivotCache cacheId="47" r:id="rId25"/>
  </pivotCaches>
</workbook>
</file>

<file path=xl/calcChain.xml><?xml version="1.0" encoding="utf-8"?>
<calcChain xmlns="http://schemas.openxmlformats.org/spreadsheetml/2006/main">
  <c r="F35" i="18"/>
  <c r="F36"/>
  <c r="F37"/>
  <c r="F38"/>
  <c r="E36"/>
  <c r="E37"/>
  <c r="E38"/>
  <c r="E35"/>
  <c r="AB10" i="22"/>
  <c r="AC10"/>
  <c r="AB13"/>
  <c r="AC13"/>
  <c r="AB16"/>
  <c r="AC16"/>
  <c r="AC7"/>
  <c r="AB7"/>
  <c r="AA4"/>
  <c r="AB4"/>
  <c r="AC4"/>
  <c r="AC12" i="28"/>
  <c r="AB12"/>
  <c r="AC10"/>
  <c r="AB10"/>
  <c r="AC8"/>
  <c r="AB8"/>
  <c r="AC6"/>
  <c r="AB6"/>
  <c r="AC4"/>
  <c r="AB4"/>
  <c r="AA4"/>
  <c r="E147" i="16"/>
  <c r="D147"/>
  <c r="E144"/>
  <c r="E145"/>
  <c r="E146"/>
  <c r="E143"/>
  <c r="D144"/>
  <c r="D145"/>
  <c r="D146"/>
  <c r="D143"/>
  <c r="B227"/>
  <c r="C206"/>
  <c r="C212" l="1"/>
  <c r="C197" l="1"/>
  <c r="C204" l="1"/>
  <c r="C203"/>
  <c r="C202"/>
  <c r="C201"/>
  <c r="C200"/>
  <c r="C199"/>
  <c r="C195"/>
  <c r="C194"/>
  <c r="BF5" i="28"/>
  <c r="BG5"/>
  <c r="BH5"/>
  <c r="BI5"/>
  <c r="BJ5"/>
  <c r="BK5"/>
  <c r="BL5"/>
  <c r="BM5"/>
  <c r="BF7"/>
  <c r="BG7"/>
  <c r="BH7"/>
  <c r="BI7"/>
  <c r="BJ7"/>
  <c r="BK7"/>
  <c r="BL7"/>
  <c r="BM7"/>
  <c r="BF9"/>
  <c r="BG9"/>
  <c r="BH9"/>
  <c r="BI9"/>
  <c r="BJ9"/>
  <c r="BK9"/>
  <c r="BL9"/>
  <c r="BM9"/>
  <c r="BF11"/>
  <c r="BG11"/>
  <c r="BH11"/>
  <c r="BI11"/>
  <c r="BJ11"/>
  <c r="BK11"/>
  <c r="BL11"/>
  <c r="BM11"/>
  <c r="BE11"/>
  <c r="BE9"/>
  <c r="BE7"/>
  <c r="BE5"/>
  <c r="D38" i="29"/>
  <c r="D37"/>
  <c r="D36"/>
  <c r="D35"/>
  <c r="G38"/>
  <c r="G37"/>
  <c r="G36"/>
  <c r="G35"/>
  <c r="E36"/>
  <c r="F36"/>
  <c r="H36"/>
  <c r="I36"/>
  <c r="K36"/>
  <c r="E37"/>
  <c r="F37"/>
  <c r="H37"/>
  <c r="I37"/>
  <c r="K37"/>
  <c r="E38"/>
  <c r="F38"/>
  <c r="H38"/>
  <c r="I38"/>
  <c r="K38"/>
  <c r="J35"/>
  <c r="K35"/>
  <c r="H35"/>
  <c r="E35"/>
  <c r="I35"/>
  <c r="F35"/>
  <c r="C36"/>
  <c r="C37"/>
  <c r="C38"/>
  <c r="C35"/>
  <c r="BD12" i="28"/>
  <c r="BC12"/>
  <c r="BB12"/>
  <c r="BA12"/>
  <c r="AZ12"/>
  <c r="AY12"/>
  <c r="AX12"/>
  <c r="AW12"/>
  <c r="AV12"/>
  <c r="AU12"/>
  <c r="AT12"/>
  <c r="AS12"/>
  <c r="AR12"/>
  <c r="AQ12"/>
  <c r="AP12"/>
  <c r="AO12"/>
  <c r="AN12"/>
  <c r="AM12"/>
  <c r="AL12"/>
  <c r="AK12"/>
  <c r="AJ12"/>
  <c r="AI12"/>
  <c r="AH12"/>
  <c r="AG12"/>
  <c r="AF12"/>
  <c r="AE12"/>
  <c r="AD12"/>
  <c r="O12"/>
  <c r="N12"/>
  <c r="M12"/>
  <c r="L12"/>
  <c r="K12"/>
  <c r="J12"/>
  <c r="I12"/>
  <c r="H12"/>
  <c r="G12"/>
  <c r="F12"/>
  <c r="E12"/>
  <c r="D12"/>
  <c r="C12"/>
  <c r="BD10"/>
  <c r="BC10"/>
  <c r="BB10"/>
  <c r="BA10"/>
  <c r="AZ10"/>
  <c r="AY10"/>
  <c r="AX10"/>
  <c r="AW10"/>
  <c r="AV10"/>
  <c r="AU10"/>
  <c r="AT10"/>
  <c r="AS10"/>
  <c r="AR10"/>
  <c r="AQ10"/>
  <c r="AP10"/>
  <c r="AO10"/>
  <c r="AN10"/>
  <c r="AM10"/>
  <c r="AL10"/>
  <c r="AK10"/>
  <c r="AJ10"/>
  <c r="AI10"/>
  <c r="AH10"/>
  <c r="AG10"/>
  <c r="AF10"/>
  <c r="AE10"/>
  <c r="AD10"/>
  <c r="Q10"/>
  <c r="Q12" s="1"/>
  <c r="P10"/>
  <c r="P12" s="1"/>
  <c r="N10"/>
  <c r="M10"/>
  <c r="L10"/>
  <c r="K10"/>
  <c r="J10"/>
  <c r="I10"/>
  <c r="H10"/>
  <c r="G10"/>
  <c r="F10"/>
  <c r="E10"/>
  <c r="D10"/>
  <c r="C10"/>
  <c r="BD8"/>
  <c r="BC8"/>
  <c r="BB8"/>
  <c r="BA8"/>
  <c r="AZ8"/>
  <c r="AY8"/>
  <c r="AX8"/>
  <c r="AW8"/>
  <c r="AV8"/>
  <c r="AU8"/>
  <c r="AT8"/>
  <c r="AS8"/>
  <c r="AR8"/>
  <c r="AQ8"/>
  <c r="AP8"/>
  <c r="AO8"/>
  <c r="AN8"/>
  <c r="AM8"/>
  <c r="AL8"/>
  <c r="AK8"/>
  <c r="AJ8"/>
  <c r="AI8"/>
  <c r="AH8"/>
  <c r="AG8"/>
  <c r="AF8"/>
  <c r="AE8"/>
  <c r="AD8"/>
  <c r="N8"/>
  <c r="M8"/>
  <c r="L8"/>
  <c r="K8"/>
  <c r="J8"/>
  <c r="I8"/>
  <c r="H8"/>
  <c r="G8"/>
  <c r="F8"/>
  <c r="E8"/>
  <c r="D8"/>
  <c r="C8"/>
  <c r="BD6"/>
  <c r="BC6"/>
  <c r="BB6"/>
  <c r="BA6"/>
  <c r="AZ6"/>
  <c r="AY6"/>
  <c r="AX6"/>
  <c r="AW6"/>
  <c r="AV6"/>
  <c r="AU6"/>
  <c r="AT6"/>
  <c r="AS6"/>
  <c r="AR6"/>
  <c r="AQ6"/>
  <c r="AP6"/>
  <c r="AO6"/>
  <c r="AN6"/>
  <c r="AM6"/>
  <c r="AL6"/>
  <c r="AK6"/>
  <c r="AJ6"/>
  <c r="AI6"/>
  <c r="AH6"/>
  <c r="AG6"/>
  <c r="AF6"/>
  <c r="AE6"/>
  <c r="AD6"/>
  <c r="N6"/>
  <c r="M6"/>
  <c r="L6"/>
  <c r="K6"/>
  <c r="J6"/>
  <c r="I6"/>
  <c r="H6"/>
  <c r="G6"/>
  <c r="F6"/>
  <c r="E6"/>
  <c r="D6"/>
  <c r="C6"/>
  <c r="BD4"/>
  <c r="BC4"/>
  <c r="BB4"/>
  <c r="BA4"/>
  <c r="AZ4"/>
  <c r="AY4"/>
  <c r="AX4"/>
  <c r="AW4"/>
  <c r="AV4"/>
  <c r="AU4"/>
  <c r="AT4"/>
  <c r="AS4"/>
  <c r="AR4"/>
  <c r="AQ4"/>
  <c r="AP4"/>
  <c r="AO4"/>
  <c r="AN4"/>
  <c r="AM4"/>
  <c r="AL4"/>
  <c r="AK4"/>
  <c r="AJ4"/>
  <c r="AI4"/>
  <c r="AH4"/>
  <c r="AG4"/>
  <c r="AF4"/>
  <c r="AE4"/>
  <c r="AD4"/>
  <c r="Z4"/>
  <c r="Y4"/>
  <c r="X4"/>
  <c r="W4"/>
  <c r="V4"/>
  <c r="U4"/>
  <c r="T4"/>
  <c r="S4"/>
  <c r="R4"/>
  <c r="Q4"/>
  <c r="P4"/>
  <c r="O4"/>
  <c r="N4"/>
  <c r="M4"/>
  <c r="L4"/>
  <c r="K4"/>
  <c r="J4"/>
  <c r="I4"/>
  <c r="H4"/>
  <c r="G4"/>
  <c r="F4"/>
  <c r="E4"/>
  <c r="D4"/>
  <c r="C4"/>
  <c r="F90" i="10"/>
  <c r="G90"/>
  <c r="F91"/>
  <c r="G91"/>
  <c r="F92"/>
  <c r="G92"/>
  <c r="G89"/>
  <c r="F89"/>
  <c r="I90"/>
  <c r="J90"/>
  <c r="I91"/>
  <c r="J91"/>
  <c r="I92"/>
  <c r="J92"/>
  <c r="J89"/>
  <c r="I89"/>
  <c r="C90"/>
  <c r="D90"/>
  <c r="C91"/>
  <c r="D91"/>
  <c r="C92"/>
  <c r="D92"/>
  <c r="D89"/>
  <c r="C89"/>
  <c r="B21" i="8"/>
  <c r="C205" i="16" l="1"/>
  <c r="C221" s="1"/>
  <c r="E221" s="1"/>
  <c r="D221" s="1"/>
  <c r="C198"/>
  <c r="B229" s="1"/>
  <c r="C220"/>
  <c r="E220" s="1"/>
  <c r="D220" s="1"/>
  <c r="J38" i="29"/>
  <c r="J37"/>
  <c r="J36"/>
  <c r="I10" i="22"/>
  <c r="I13"/>
  <c r="I7"/>
  <c r="I4"/>
  <c r="J4"/>
  <c r="K4"/>
  <c r="D12" i="18"/>
  <c r="D13"/>
  <c r="D11"/>
  <c r="E64" i="4"/>
  <c r="K10" i="22" s="1"/>
  <c r="E65" i="4"/>
  <c r="K13" i="22" s="1"/>
  <c r="E63" i="4"/>
  <c r="K7" i="22" s="1"/>
  <c r="D64" i="4"/>
  <c r="E12" i="18" s="1"/>
  <c r="D65" i="4"/>
  <c r="J13" i="22" s="1"/>
  <c r="D63" i="4"/>
  <c r="J7" i="22" s="1"/>
  <c r="C66" i="4"/>
  <c r="D14" i="18" s="1"/>
  <c r="R4" i="22"/>
  <c r="S4"/>
  <c r="T4"/>
  <c r="U4"/>
  <c r="V4"/>
  <c r="W4"/>
  <c r="X4"/>
  <c r="Y4"/>
  <c r="Z4"/>
  <c r="AD4"/>
  <c r="AE4"/>
  <c r="AF4"/>
  <c r="AG4"/>
  <c r="AH4"/>
  <c r="AI4"/>
  <c r="AJ4"/>
  <c r="AK4"/>
  <c r="AL4"/>
  <c r="AM4"/>
  <c r="AN4"/>
  <c r="AO4"/>
  <c r="AP4"/>
  <c r="AQ4"/>
  <c r="AR4"/>
  <c r="AS4"/>
  <c r="AT4"/>
  <c r="AU4"/>
  <c r="AV4"/>
  <c r="AW4"/>
  <c r="AX4"/>
  <c r="AY4"/>
  <c r="AZ4"/>
  <c r="BA4"/>
  <c r="BB4"/>
  <c r="BC4"/>
  <c r="BD4"/>
  <c r="O4"/>
  <c r="L4"/>
  <c r="D4"/>
  <c r="E4"/>
  <c r="F4"/>
  <c r="G4"/>
  <c r="H4"/>
  <c r="M4"/>
  <c r="N4"/>
  <c r="P4"/>
  <c r="Q4"/>
  <c r="C4"/>
  <c r="BD16"/>
  <c r="BC16"/>
  <c r="BB16"/>
  <c r="BD13"/>
  <c r="BC13"/>
  <c r="BB13"/>
  <c r="BD10"/>
  <c r="BC10"/>
  <c r="BB10"/>
  <c r="BD7"/>
  <c r="BC7"/>
  <c r="BB7"/>
  <c r="AO16"/>
  <c r="AN16"/>
  <c r="AM16"/>
  <c r="AO13"/>
  <c r="AN13"/>
  <c r="AM13"/>
  <c r="AO10"/>
  <c r="AN10"/>
  <c r="AM10"/>
  <c r="AO7"/>
  <c r="AN7"/>
  <c r="AM7"/>
  <c r="AL16"/>
  <c r="AK16"/>
  <c r="AJ16"/>
  <c r="AL13"/>
  <c r="AK13"/>
  <c r="AJ13"/>
  <c r="AL10"/>
  <c r="AK10"/>
  <c r="AJ10"/>
  <c r="AL7"/>
  <c r="AK7"/>
  <c r="AJ7"/>
  <c r="AH16"/>
  <c r="AG16"/>
  <c r="AH13"/>
  <c r="AG13"/>
  <c r="AH10"/>
  <c r="AG10"/>
  <c r="AH7"/>
  <c r="AG7"/>
  <c r="AE16"/>
  <c r="AD16"/>
  <c r="AE13"/>
  <c r="AD13"/>
  <c r="AE10"/>
  <c r="AD10"/>
  <c r="AE7"/>
  <c r="AD7"/>
  <c r="O16"/>
  <c r="Q13"/>
  <c r="Q16" s="1"/>
  <c r="P13"/>
  <c r="P16" s="1"/>
  <c r="N13"/>
  <c r="M13"/>
  <c r="L13"/>
  <c r="N10"/>
  <c r="H13"/>
  <c r="G13"/>
  <c r="F13"/>
  <c r="E16"/>
  <c r="D16"/>
  <c r="C16"/>
  <c r="E13"/>
  <c r="D13"/>
  <c r="C13"/>
  <c r="E10"/>
  <c r="D10"/>
  <c r="C10"/>
  <c r="E7"/>
  <c r="D7"/>
  <c r="C7"/>
  <c r="C222" i="16" l="1"/>
  <c r="E222" s="1"/>
  <c r="D222" s="1"/>
  <c r="C219"/>
  <c r="E219" s="1"/>
  <c r="D219" s="1"/>
  <c r="F13" i="18"/>
  <c r="F12"/>
  <c r="F11"/>
  <c r="J10" i="22"/>
  <c r="I16"/>
  <c r="D66" i="4"/>
  <c r="E66"/>
  <c r="E13" i="18"/>
  <c r="E11"/>
  <c r="E51"/>
  <c r="F51"/>
  <c r="E52"/>
  <c r="F52"/>
  <c r="E53"/>
  <c r="F53"/>
  <c r="E54"/>
  <c r="F54"/>
  <c r="D52"/>
  <c r="D53"/>
  <c r="D54"/>
  <c r="D51"/>
  <c r="E47"/>
  <c r="F47"/>
  <c r="E48"/>
  <c r="F48"/>
  <c r="E49"/>
  <c r="F49"/>
  <c r="E50"/>
  <c r="F50"/>
  <c r="D48"/>
  <c r="D49"/>
  <c r="D50"/>
  <c r="D47"/>
  <c r="E43"/>
  <c r="E44"/>
  <c r="E45"/>
  <c r="E46"/>
  <c r="D44"/>
  <c r="D45"/>
  <c r="D46"/>
  <c r="D43"/>
  <c r="E39"/>
  <c r="E40"/>
  <c r="E41"/>
  <c r="E42"/>
  <c r="D40"/>
  <c r="D41"/>
  <c r="D42"/>
  <c r="D39"/>
  <c r="F74"/>
  <c r="E74"/>
  <c r="E71"/>
  <c r="F71"/>
  <c r="E72"/>
  <c r="F72"/>
  <c r="E73"/>
  <c r="F73"/>
  <c r="D72"/>
  <c r="D73"/>
  <c r="D74"/>
  <c r="D71"/>
  <c r="F21"/>
  <c r="F22" s="1"/>
  <c r="E21"/>
  <c r="E22" s="1"/>
  <c r="D22"/>
  <c r="F16"/>
  <c r="D17"/>
  <c r="E17"/>
  <c r="F17"/>
  <c r="L151" i="2"/>
  <c r="K152"/>
  <c r="L152"/>
  <c r="J152"/>
  <c r="H153"/>
  <c r="H152"/>
  <c r="H151"/>
  <c r="H150"/>
  <c r="E152"/>
  <c r="E9" i="18"/>
  <c r="F9"/>
  <c r="D9"/>
  <c r="D3"/>
  <c r="E3"/>
  <c r="F3"/>
  <c r="D4"/>
  <c r="E4"/>
  <c r="F4"/>
  <c r="D5"/>
  <c r="E5"/>
  <c r="F5"/>
  <c r="D6"/>
  <c r="E6"/>
  <c r="F6"/>
  <c r="R49" i="14"/>
  <c r="S49" s="1"/>
  <c r="R51"/>
  <c r="S51" s="1"/>
  <c r="R48"/>
  <c r="S48" s="1"/>
  <c r="O50"/>
  <c r="P50" s="1"/>
  <c r="O52"/>
  <c r="P52" s="1"/>
  <c r="L48"/>
  <c r="Q49"/>
  <c r="Q50"/>
  <c r="R50" s="1"/>
  <c r="S50" s="1"/>
  <c r="Q51"/>
  <c r="Q52"/>
  <c r="R52" s="1"/>
  <c r="S52" s="1"/>
  <c r="Q48"/>
  <c r="N49"/>
  <c r="O49" s="1"/>
  <c r="P49" s="1"/>
  <c r="N50"/>
  <c r="N51"/>
  <c r="O51" s="1"/>
  <c r="P51" s="1"/>
  <c r="N52"/>
  <c r="N48"/>
  <c r="O48" s="1"/>
  <c r="P48" s="1"/>
  <c r="K52"/>
  <c r="T52" s="1"/>
  <c r="I69" s="1"/>
  <c r="K49"/>
  <c r="T49" s="1"/>
  <c r="I67" s="1"/>
  <c r="K50"/>
  <c r="T50" s="1"/>
  <c r="I68" s="1"/>
  <c r="K51"/>
  <c r="T51" s="1"/>
  <c r="K48"/>
  <c r="T48" s="1"/>
  <c r="I66" s="1"/>
  <c r="G69"/>
  <c r="F69"/>
  <c r="F67"/>
  <c r="F68"/>
  <c r="F66"/>
  <c r="D59" i="18" s="1"/>
  <c r="T83" i="10"/>
  <c r="T82"/>
  <c r="M85"/>
  <c r="M83"/>
  <c r="M84"/>
  <c r="M82"/>
  <c r="J83"/>
  <c r="J84"/>
  <c r="J85"/>
  <c r="J82"/>
  <c r="G83"/>
  <c r="G84"/>
  <c r="G85"/>
  <c r="G82"/>
  <c r="D83"/>
  <c r="D84"/>
  <c r="P84" s="1"/>
  <c r="D85"/>
  <c r="D82"/>
  <c r="N76"/>
  <c r="N75"/>
  <c r="K75"/>
  <c r="J75"/>
  <c r="I75"/>
  <c r="H76"/>
  <c r="H77"/>
  <c r="H78"/>
  <c r="H75"/>
  <c r="G76"/>
  <c r="G77"/>
  <c r="G78"/>
  <c r="G75"/>
  <c r="E78"/>
  <c r="D78"/>
  <c r="D76"/>
  <c r="D77"/>
  <c r="E76"/>
  <c r="E77"/>
  <c r="E75"/>
  <c r="D75"/>
  <c r="L85"/>
  <c r="L84"/>
  <c r="P82"/>
  <c r="P83"/>
  <c r="P85"/>
  <c r="O83"/>
  <c r="O84"/>
  <c r="O85"/>
  <c r="O82"/>
  <c r="L83"/>
  <c r="L82"/>
  <c r="I82"/>
  <c r="Q40"/>
  <c r="Q41"/>
  <c r="Q42"/>
  <c r="Q43"/>
  <c r="Q44"/>
  <c r="P41"/>
  <c r="P42"/>
  <c r="P43"/>
  <c r="P44"/>
  <c r="P40"/>
  <c r="N41"/>
  <c r="N42"/>
  <c r="N43"/>
  <c r="N44"/>
  <c r="M41"/>
  <c r="M42"/>
  <c r="M43"/>
  <c r="M44"/>
  <c r="N40"/>
  <c r="K40"/>
  <c r="M40"/>
  <c r="K41"/>
  <c r="K42"/>
  <c r="K43"/>
  <c r="K44"/>
  <c r="J41"/>
  <c r="J42"/>
  <c r="J43"/>
  <c r="J44"/>
  <c r="J40"/>
  <c r="H41"/>
  <c r="H42"/>
  <c r="H43"/>
  <c r="H44"/>
  <c r="H40"/>
  <c r="G41"/>
  <c r="G42"/>
  <c r="G43"/>
  <c r="G44"/>
  <c r="G40"/>
  <c r="C30" i="14"/>
  <c r="F74" s="1"/>
  <c r="AY10" i="22" s="1"/>
  <c r="C52" i="14"/>
  <c r="C53"/>
  <c r="C51"/>
  <c r="C48"/>
  <c r="C46"/>
  <c r="C45"/>
  <c r="C43"/>
  <c r="C40"/>
  <c r="C39"/>
  <c r="AL4" i="17"/>
  <c r="AM4"/>
  <c r="AL5"/>
  <c r="AM5"/>
  <c r="AL6"/>
  <c r="AM6"/>
  <c r="AL7"/>
  <c r="AM7"/>
  <c r="AL8"/>
  <c r="AM8"/>
  <c r="AL9"/>
  <c r="AM9"/>
  <c r="AL10"/>
  <c r="AM10"/>
  <c r="AL11"/>
  <c r="AM11"/>
  <c r="AL12"/>
  <c r="AM12"/>
  <c r="AL13"/>
  <c r="AM13"/>
  <c r="AL14"/>
  <c r="AM14"/>
  <c r="AL15"/>
  <c r="AM15"/>
  <c r="AL16"/>
  <c r="AM16"/>
  <c r="AL17"/>
  <c r="AM17"/>
  <c r="AL18"/>
  <c r="AM18"/>
  <c r="AL19"/>
  <c r="AM19"/>
  <c r="AL20"/>
  <c r="AM20"/>
  <c r="AL21"/>
  <c r="AM21"/>
  <c r="AL22"/>
  <c r="AM22"/>
  <c r="AL23"/>
  <c r="AM23"/>
  <c r="AL24"/>
  <c r="AM24"/>
  <c r="AL25"/>
  <c r="AM25"/>
  <c r="AL26"/>
  <c r="AM26"/>
  <c r="AL27"/>
  <c r="AM27"/>
  <c r="AL28"/>
  <c r="AM28"/>
  <c r="AL29"/>
  <c r="AM29"/>
  <c r="AL30"/>
  <c r="AM30"/>
  <c r="AL31"/>
  <c r="AM31"/>
  <c r="AL32"/>
  <c r="AM32"/>
  <c r="AL33"/>
  <c r="AM33"/>
  <c r="AL34"/>
  <c r="AM34"/>
  <c r="AL35"/>
  <c r="AM35"/>
  <c r="AL36"/>
  <c r="AM36"/>
  <c r="AL37"/>
  <c r="AM37"/>
  <c r="AL38"/>
  <c r="AM38"/>
  <c r="AL39"/>
  <c r="AM39"/>
  <c r="AL40"/>
  <c r="AM40"/>
  <c r="AL41"/>
  <c r="AM41"/>
  <c r="AL42"/>
  <c r="AM42"/>
  <c r="AL43"/>
  <c r="AM43"/>
  <c r="AL44"/>
  <c r="AM44"/>
  <c r="AL45"/>
  <c r="AM45"/>
  <c r="AL46"/>
  <c r="AM46"/>
  <c r="AL47"/>
  <c r="AM47"/>
  <c r="AL48"/>
  <c r="AM48"/>
  <c r="AL49"/>
  <c r="AM49"/>
  <c r="AL50"/>
  <c r="AM50"/>
  <c r="AL51"/>
  <c r="AM51"/>
  <c r="AL52"/>
  <c r="AM52"/>
  <c r="AL53"/>
  <c r="AM53"/>
  <c r="AL54"/>
  <c r="AM54"/>
  <c r="AL55"/>
  <c r="AM55"/>
  <c r="AL56"/>
  <c r="AM56"/>
  <c r="AL57"/>
  <c r="AM57"/>
  <c r="AL58"/>
  <c r="AM58"/>
  <c r="AL59"/>
  <c r="AM59"/>
  <c r="AL60"/>
  <c r="AM60"/>
  <c r="AL61"/>
  <c r="AM61"/>
  <c r="AL62"/>
  <c r="AM62"/>
  <c r="AL63"/>
  <c r="AM63"/>
  <c r="AL64"/>
  <c r="AM64"/>
  <c r="AL65"/>
  <c r="AM65"/>
  <c r="AL66"/>
  <c r="AM66"/>
  <c r="AL67"/>
  <c r="AM67"/>
  <c r="AL68"/>
  <c r="AM68"/>
  <c r="AL69"/>
  <c r="AM69"/>
  <c r="AL70"/>
  <c r="AM70"/>
  <c r="AL71"/>
  <c r="AM71"/>
  <c r="AL72"/>
  <c r="AM72"/>
  <c r="AL73"/>
  <c r="AM73"/>
  <c r="AL74"/>
  <c r="AM74"/>
  <c r="AL75"/>
  <c r="AM75"/>
  <c r="AL76"/>
  <c r="AM76"/>
  <c r="AL77"/>
  <c r="AM77"/>
  <c r="AL78"/>
  <c r="AM78"/>
  <c r="AL79"/>
  <c r="AM79"/>
  <c r="AL80"/>
  <c r="AM80"/>
  <c r="AL81"/>
  <c r="AM81"/>
  <c r="AL82"/>
  <c r="AM82"/>
  <c r="AL83"/>
  <c r="AM83"/>
  <c r="AL84"/>
  <c r="AM84"/>
  <c r="AL85"/>
  <c r="AM85"/>
  <c r="AL86"/>
  <c r="AM86"/>
  <c r="AL87"/>
  <c r="AM87"/>
  <c r="AL88"/>
  <c r="AM88"/>
  <c r="AL89"/>
  <c r="AM89"/>
  <c r="AL90"/>
  <c r="AM90"/>
  <c r="AL91"/>
  <c r="AM91"/>
  <c r="AL92"/>
  <c r="AM92"/>
  <c r="AL93"/>
  <c r="AM93"/>
  <c r="AL94"/>
  <c r="AM94"/>
  <c r="AL95"/>
  <c r="AM95"/>
  <c r="AL96"/>
  <c r="AM96"/>
  <c r="AL97"/>
  <c r="AM97"/>
  <c r="AL98"/>
  <c r="AM98"/>
  <c r="AL99"/>
  <c r="AM99"/>
  <c r="AL100"/>
  <c r="AM100"/>
  <c r="AL101"/>
  <c r="AM101"/>
  <c r="AL102"/>
  <c r="AM102"/>
  <c r="AL103"/>
  <c r="AM103"/>
  <c r="AL104"/>
  <c r="AM104"/>
  <c r="AL105"/>
  <c r="AM105"/>
  <c r="AL106"/>
  <c r="AM106"/>
  <c r="AL107"/>
  <c r="AM107"/>
  <c r="AL108"/>
  <c r="AM108"/>
  <c r="AL109"/>
  <c r="AM109"/>
  <c r="AL110"/>
  <c r="AM110"/>
  <c r="AL111"/>
  <c r="AM111"/>
  <c r="AL112"/>
  <c r="AM112"/>
  <c r="AL113"/>
  <c r="AM113"/>
  <c r="AL114"/>
  <c r="AM114"/>
  <c r="AL115"/>
  <c r="AM115"/>
  <c r="AL116"/>
  <c r="AM116"/>
  <c r="AL117"/>
  <c r="AM117"/>
  <c r="AL118"/>
  <c r="AM118"/>
  <c r="AL119"/>
  <c r="AM119"/>
  <c r="AL120"/>
  <c r="AM120"/>
  <c r="AL121"/>
  <c r="AM121"/>
  <c r="AL122"/>
  <c r="AM122"/>
  <c r="AL123"/>
  <c r="AM123"/>
  <c r="AL124"/>
  <c r="AM124"/>
  <c r="AL125"/>
  <c r="AM125"/>
  <c r="AL126"/>
  <c r="AM126"/>
  <c r="AL127"/>
  <c r="AM127"/>
  <c r="AL128"/>
  <c r="AM128"/>
  <c r="AL129"/>
  <c r="AM129"/>
  <c r="AL130"/>
  <c r="AM130"/>
  <c r="AL131"/>
  <c r="AM131"/>
  <c r="AL132"/>
  <c r="AM132"/>
  <c r="AL133"/>
  <c r="AM133"/>
  <c r="AL134"/>
  <c r="AM134"/>
  <c r="AL135"/>
  <c r="AM135"/>
  <c r="AM3"/>
  <c r="AL3"/>
  <c r="AJ162"/>
  <c r="AK162"/>
  <c r="AP162"/>
  <c r="AQ162"/>
  <c r="AJ163"/>
  <c r="AK163"/>
  <c r="AP163"/>
  <c r="AQ163"/>
  <c r="AJ164"/>
  <c r="AK164"/>
  <c r="AP164"/>
  <c r="AQ164"/>
  <c r="AJ165"/>
  <c r="AK165"/>
  <c r="AP165"/>
  <c r="AQ165"/>
  <c r="AJ166"/>
  <c r="AK166"/>
  <c r="AP166"/>
  <c r="AQ166"/>
  <c r="AJ150"/>
  <c r="AK150"/>
  <c r="AP150"/>
  <c r="AQ150"/>
  <c r="AJ151"/>
  <c r="AK151"/>
  <c r="AP151"/>
  <c r="AQ151"/>
  <c r="AJ152"/>
  <c r="AK152"/>
  <c r="AP152"/>
  <c r="AQ152"/>
  <c r="AJ153"/>
  <c r="AK153"/>
  <c r="AP153"/>
  <c r="AQ153"/>
  <c r="AJ154"/>
  <c r="AK154"/>
  <c r="AP154"/>
  <c r="AQ154"/>
  <c r="AJ155"/>
  <c r="AK155"/>
  <c r="AP155"/>
  <c r="AQ155"/>
  <c r="AJ156"/>
  <c r="AK156"/>
  <c r="AP156"/>
  <c r="AQ156"/>
  <c r="AJ157"/>
  <c r="AK157"/>
  <c r="AP157"/>
  <c r="AQ157"/>
  <c r="AJ158"/>
  <c r="AK158"/>
  <c r="AP158"/>
  <c r="AQ158"/>
  <c r="AJ159"/>
  <c r="AK159"/>
  <c r="AP159"/>
  <c r="AQ159"/>
  <c r="AJ160"/>
  <c r="AK160"/>
  <c r="AP160"/>
  <c r="AQ160"/>
  <c r="AJ161"/>
  <c r="AK161"/>
  <c r="AP161"/>
  <c r="AQ161"/>
  <c r="AJ140"/>
  <c r="AK140"/>
  <c r="AP140"/>
  <c r="AQ140"/>
  <c r="AJ141"/>
  <c r="AK141"/>
  <c r="AP141"/>
  <c r="AQ141"/>
  <c r="AJ142"/>
  <c r="AK142"/>
  <c r="AP142"/>
  <c r="AQ142"/>
  <c r="AJ143"/>
  <c r="AK143"/>
  <c r="AP143"/>
  <c r="AQ143"/>
  <c r="AJ144"/>
  <c r="AK144"/>
  <c r="AP144"/>
  <c r="AQ144"/>
  <c r="AJ145"/>
  <c r="AK145"/>
  <c r="AP145"/>
  <c r="AQ145"/>
  <c r="AJ146"/>
  <c r="AK146"/>
  <c r="AP146"/>
  <c r="AQ146"/>
  <c r="AJ147"/>
  <c r="AK147"/>
  <c r="AP147"/>
  <c r="AQ147"/>
  <c r="AJ148"/>
  <c r="AK148"/>
  <c r="AP148"/>
  <c r="AQ148"/>
  <c r="AJ149"/>
  <c r="AK149"/>
  <c r="AP149"/>
  <c r="AQ149"/>
  <c r="AJ124"/>
  <c r="AK124"/>
  <c r="AJ125"/>
  <c r="AK125"/>
  <c r="AJ126"/>
  <c r="AK126"/>
  <c r="AJ127"/>
  <c r="AK127"/>
  <c r="AJ128"/>
  <c r="AK128"/>
  <c r="AP128"/>
  <c r="AQ128"/>
  <c r="AJ129"/>
  <c r="AK129"/>
  <c r="AP129"/>
  <c r="AQ129"/>
  <c r="AJ130"/>
  <c r="AK130"/>
  <c r="AP130"/>
  <c r="AQ130"/>
  <c r="AJ131"/>
  <c r="AK131"/>
  <c r="AP131"/>
  <c r="AQ131"/>
  <c r="AJ132"/>
  <c r="AK132"/>
  <c r="AP132"/>
  <c r="AQ132"/>
  <c r="AJ133"/>
  <c r="AK133"/>
  <c r="AP133"/>
  <c r="AQ133"/>
  <c r="AJ134"/>
  <c r="AK134"/>
  <c r="AP134"/>
  <c r="AQ134"/>
  <c r="AJ135"/>
  <c r="AK135"/>
  <c r="AP135"/>
  <c r="AQ135"/>
  <c r="AJ136"/>
  <c r="AK136"/>
  <c r="AP136"/>
  <c r="AQ136"/>
  <c r="AJ137"/>
  <c r="AK137"/>
  <c r="AP137"/>
  <c r="AQ137"/>
  <c r="AJ138"/>
  <c r="AK138"/>
  <c r="AP138"/>
  <c r="AQ138"/>
  <c r="AJ139"/>
  <c r="AK139"/>
  <c r="AP139"/>
  <c r="AQ139"/>
  <c r="AJ113"/>
  <c r="AK113"/>
  <c r="AP113"/>
  <c r="AQ113"/>
  <c r="AJ114"/>
  <c r="AK114"/>
  <c r="AP114"/>
  <c r="AQ114"/>
  <c r="AJ115"/>
  <c r="AK115"/>
  <c r="AP115"/>
  <c r="AQ115"/>
  <c r="AJ116"/>
  <c r="AK116"/>
  <c r="AP116"/>
  <c r="AQ116"/>
  <c r="AJ117"/>
  <c r="AK117"/>
  <c r="AP117"/>
  <c r="AQ117"/>
  <c r="AJ118"/>
  <c r="AK118"/>
  <c r="AP118"/>
  <c r="AQ118"/>
  <c r="AJ119"/>
  <c r="AK119"/>
  <c r="AP119"/>
  <c r="AQ119"/>
  <c r="AJ120"/>
  <c r="AK120"/>
  <c r="AP120"/>
  <c r="AQ120"/>
  <c r="AJ121"/>
  <c r="AK121"/>
  <c r="AP121"/>
  <c r="AQ121"/>
  <c r="AJ122"/>
  <c r="AK122"/>
  <c r="AP122"/>
  <c r="AQ122"/>
  <c r="AJ123"/>
  <c r="AK123"/>
  <c r="AJ100"/>
  <c r="AK100"/>
  <c r="AP100"/>
  <c r="AQ100"/>
  <c r="AJ101"/>
  <c r="AK101"/>
  <c r="AP101"/>
  <c r="AQ101"/>
  <c r="AJ102"/>
  <c r="AK102"/>
  <c r="AP102"/>
  <c r="AQ102"/>
  <c r="AJ103"/>
  <c r="AK103"/>
  <c r="AP103"/>
  <c r="AQ103"/>
  <c r="AJ104"/>
  <c r="AK104"/>
  <c r="AP104"/>
  <c r="AQ104"/>
  <c r="AJ105"/>
  <c r="AK105"/>
  <c r="AP105"/>
  <c r="AQ105"/>
  <c r="AJ106"/>
  <c r="AK106"/>
  <c r="AP106"/>
  <c r="AQ106"/>
  <c r="AJ107"/>
  <c r="AK107"/>
  <c r="AP107"/>
  <c r="AQ107"/>
  <c r="AJ108"/>
  <c r="AK108"/>
  <c r="AP108"/>
  <c r="AQ108"/>
  <c r="AJ109"/>
  <c r="AK109"/>
  <c r="AP109"/>
  <c r="AQ109"/>
  <c r="AJ110"/>
  <c r="AK110"/>
  <c r="AP110"/>
  <c r="AQ110"/>
  <c r="AJ111"/>
  <c r="AK111"/>
  <c r="AP111"/>
  <c r="AQ111"/>
  <c r="AJ112"/>
  <c r="AK112"/>
  <c r="AP112"/>
  <c r="AQ112"/>
  <c r="AJ71"/>
  <c r="AK71"/>
  <c r="AP71"/>
  <c r="AQ71"/>
  <c r="AJ72"/>
  <c r="AK72"/>
  <c r="AP72"/>
  <c r="AQ72"/>
  <c r="AJ73"/>
  <c r="AK73"/>
  <c r="AP73"/>
  <c r="AQ73"/>
  <c r="AJ74"/>
  <c r="AK74"/>
  <c r="AP74"/>
  <c r="AQ74"/>
  <c r="AJ75"/>
  <c r="AK75"/>
  <c r="AP75"/>
  <c r="AQ75"/>
  <c r="AJ76"/>
  <c r="AK76"/>
  <c r="AP76"/>
  <c r="AQ76"/>
  <c r="AJ77"/>
  <c r="AK77"/>
  <c r="AP77"/>
  <c r="AQ77"/>
  <c r="AJ78"/>
  <c r="AK78"/>
  <c r="AP78"/>
  <c r="AQ78"/>
  <c r="AJ79"/>
  <c r="AK79"/>
  <c r="AJ80"/>
  <c r="AK80"/>
  <c r="AP80"/>
  <c r="AQ80"/>
  <c r="AJ81"/>
  <c r="AK81"/>
  <c r="AJ82"/>
  <c r="AK82"/>
  <c r="AJ83"/>
  <c r="AK83"/>
  <c r="AP83"/>
  <c r="AQ83"/>
  <c r="AJ84"/>
  <c r="AK84"/>
  <c r="AP84"/>
  <c r="AQ84"/>
  <c r="AJ85"/>
  <c r="AK85"/>
  <c r="AP85"/>
  <c r="AQ85"/>
  <c r="AJ86"/>
  <c r="AK86"/>
  <c r="AP86"/>
  <c r="AQ86"/>
  <c r="AJ87"/>
  <c r="AK87"/>
  <c r="AP87"/>
  <c r="AQ87"/>
  <c r="AJ88"/>
  <c r="AK88"/>
  <c r="AP88"/>
  <c r="AQ88"/>
  <c r="AJ89"/>
  <c r="AK89"/>
  <c r="AP89"/>
  <c r="AQ89"/>
  <c r="AJ90"/>
  <c r="AK90"/>
  <c r="AP90"/>
  <c r="AQ90"/>
  <c r="AJ91"/>
  <c r="AK91"/>
  <c r="AP91"/>
  <c r="AQ91"/>
  <c r="AJ92"/>
  <c r="AK92"/>
  <c r="AP92"/>
  <c r="AQ92"/>
  <c r="AJ93"/>
  <c r="AK93"/>
  <c r="AP93"/>
  <c r="AQ93"/>
  <c r="AJ94"/>
  <c r="AK94"/>
  <c r="AP94"/>
  <c r="AQ94"/>
  <c r="AJ95"/>
  <c r="AK95"/>
  <c r="AP95"/>
  <c r="AQ95"/>
  <c r="AJ96"/>
  <c r="AK96"/>
  <c r="AP96"/>
  <c r="AQ96"/>
  <c r="AJ97"/>
  <c r="AK97"/>
  <c r="AP97"/>
  <c r="AQ97"/>
  <c r="AJ98"/>
  <c r="AK98"/>
  <c r="AP98"/>
  <c r="AQ98"/>
  <c r="AJ99"/>
  <c r="AK99"/>
  <c r="AP99"/>
  <c r="AQ99"/>
  <c r="AP51"/>
  <c r="AQ51"/>
  <c r="AJ52"/>
  <c r="AK52"/>
  <c r="AP52"/>
  <c r="AQ52"/>
  <c r="AJ53"/>
  <c r="AK53"/>
  <c r="AP53"/>
  <c r="AQ53"/>
  <c r="AJ54"/>
  <c r="AK54"/>
  <c r="AP54"/>
  <c r="AQ54"/>
  <c r="AJ55"/>
  <c r="AK55"/>
  <c r="AJ56"/>
  <c r="AK56"/>
  <c r="AP56"/>
  <c r="AQ56"/>
  <c r="AJ57"/>
  <c r="AK57"/>
  <c r="AP57"/>
  <c r="AQ57"/>
  <c r="AJ58"/>
  <c r="AK58"/>
  <c r="AP58"/>
  <c r="AQ58"/>
  <c r="AJ59"/>
  <c r="AK59"/>
  <c r="AP59"/>
  <c r="AQ59"/>
  <c r="AJ60"/>
  <c r="AK60"/>
  <c r="AP60"/>
  <c r="AQ60"/>
  <c r="AJ61"/>
  <c r="AK61"/>
  <c r="AJ62"/>
  <c r="AK62"/>
  <c r="AJ63"/>
  <c r="AK63"/>
  <c r="AJ64"/>
  <c r="AK64"/>
  <c r="AJ65"/>
  <c r="AK65"/>
  <c r="AP65"/>
  <c r="AQ65"/>
  <c r="AJ66"/>
  <c r="AK66"/>
  <c r="AP66"/>
  <c r="AQ66"/>
  <c r="AJ67"/>
  <c r="AK67"/>
  <c r="AP67"/>
  <c r="AQ67"/>
  <c r="AJ68"/>
  <c r="AK68"/>
  <c r="AP68"/>
  <c r="AQ68"/>
  <c r="AJ69"/>
  <c r="AK69"/>
  <c r="AP69"/>
  <c r="AQ69"/>
  <c r="AJ70"/>
  <c r="AK70"/>
  <c r="AP36"/>
  <c r="AQ36"/>
  <c r="AP37"/>
  <c r="AQ37"/>
  <c r="AP38"/>
  <c r="AQ38"/>
  <c r="AP39"/>
  <c r="AQ39"/>
  <c r="AP40"/>
  <c r="AQ40"/>
  <c r="AP41"/>
  <c r="AQ41"/>
  <c r="AP42"/>
  <c r="AQ42"/>
  <c r="AP43"/>
  <c r="AQ43"/>
  <c r="AP44"/>
  <c r="AQ44"/>
  <c r="AP45"/>
  <c r="AQ45"/>
  <c r="AP46"/>
  <c r="AQ46"/>
  <c r="AP47"/>
  <c r="AQ47"/>
  <c r="AP48"/>
  <c r="AQ48"/>
  <c r="AP49"/>
  <c r="AQ49"/>
  <c r="AP50"/>
  <c r="AQ50"/>
  <c r="AP20"/>
  <c r="AQ20"/>
  <c r="AP21"/>
  <c r="AQ21"/>
  <c r="AP22"/>
  <c r="AQ22"/>
  <c r="AP23"/>
  <c r="AQ23"/>
  <c r="AP24"/>
  <c r="AQ24"/>
  <c r="AP25"/>
  <c r="AQ25"/>
  <c r="AP26"/>
  <c r="AQ26"/>
  <c r="AP27"/>
  <c r="AQ27"/>
  <c r="AP28"/>
  <c r="AQ28"/>
  <c r="AP29"/>
  <c r="AQ29"/>
  <c r="AP30"/>
  <c r="AQ30"/>
  <c r="AP31"/>
  <c r="AQ31"/>
  <c r="AP32"/>
  <c r="AQ32"/>
  <c r="AP33"/>
  <c r="AQ33"/>
  <c r="AP34"/>
  <c r="AQ34"/>
  <c r="AP35"/>
  <c r="AQ35"/>
  <c r="AP4"/>
  <c r="AQ4"/>
  <c r="AP5"/>
  <c r="AQ5"/>
  <c r="AP6"/>
  <c r="AQ6"/>
  <c r="AP7"/>
  <c r="AQ7"/>
  <c r="AP8"/>
  <c r="AQ8"/>
  <c r="AP9"/>
  <c r="AQ9"/>
  <c r="AP10"/>
  <c r="AQ10"/>
  <c r="AP11"/>
  <c r="AQ11"/>
  <c r="AP12"/>
  <c r="AQ12"/>
  <c r="AP13"/>
  <c r="AQ13"/>
  <c r="AP14"/>
  <c r="AQ14"/>
  <c r="AP15"/>
  <c r="AQ15"/>
  <c r="AP16"/>
  <c r="AQ16"/>
  <c r="AP17"/>
  <c r="AQ17"/>
  <c r="AP18"/>
  <c r="AQ18"/>
  <c r="AP19"/>
  <c r="AQ19"/>
  <c r="AQ3"/>
  <c r="AP3"/>
  <c r="Y4"/>
  <c r="Y5"/>
  <c r="Y6"/>
  <c r="Y7"/>
  <c r="Y8"/>
  <c r="Y9"/>
  <c r="Y10"/>
  <c r="Y11"/>
  <c r="Y12"/>
  <c r="Y13"/>
  <c r="Y14"/>
  <c r="Y15"/>
  <c r="Y16"/>
  <c r="Y17"/>
  <c r="Y18"/>
  <c r="Y19"/>
  <c r="Y20"/>
  <c r="Y21"/>
  <c r="Y22"/>
  <c r="Y23"/>
  <c r="Y24"/>
  <c r="Y25"/>
  <c r="Y26"/>
  <c r="Y27"/>
  <c r="Y28"/>
  <c r="Y29"/>
  <c r="Y30"/>
  <c r="Y31"/>
  <c r="Y32"/>
  <c r="Y33"/>
  <c r="Y34"/>
  <c r="Y35"/>
  <c r="Y36"/>
  <c r="Y37"/>
  <c r="Y38"/>
  <c r="Y39"/>
  <c r="Y40"/>
  <c r="Y41"/>
  <c r="Y42"/>
  <c r="Y43"/>
  <c r="Y44"/>
  <c r="Y45"/>
  <c r="Y46"/>
  <c r="Y47"/>
  <c r="Y48"/>
  <c r="Y49"/>
  <c r="Y50"/>
  <c r="Y51"/>
  <c r="Y52"/>
  <c r="Y53"/>
  <c r="Y54"/>
  <c r="Y55"/>
  <c r="Y56"/>
  <c r="Y57"/>
  <c r="Y58"/>
  <c r="Y59"/>
  <c r="Y60"/>
  <c r="Y61"/>
  <c r="Y62"/>
  <c r="Y63"/>
  <c r="Y64"/>
  <c r="Y65"/>
  <c r="Y66"/>
  <c r="Y67"/>
  <c r="Y68"/>
  <c r="Y69"/>
  <c r="Y70"/>
  <c r="Y71"/>
  <c r="Y72"/>
  <c r="Y73"/>
  <c r="Y74"/>
  <c r="Y75"/>
  <c r="Y76"/>
  <c r="Y77"/>
  <c r="Y78"/>
  <c r="Y79"/>
  <c r="Y8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135"/>
  <c r="Y136"/>
  <c r="Y137"/>
  <c r="Y138"/>
  <c r="Y139"/>
  <c r="Y140"/>
  <c r="Y141"/>
  <c r="Y142"/>
  <c r="Y143"/>
  <c r="Y144"/>
  <c r="Y145"/>
  <c r="Y146"/>
  <c r="Y147"/>
  <c r="Y148"/>
  <c r="Y149"/>
  <c r="Y150"/>
  <c r="Y151"/>
  <c r="Y152"/>
  <c r="Y153"/>
  <c r="Y154"/>
  <c r="Y155"/>
  <c r="Y156"/>
  <c r="Y157"/>
  <c r="Y158"/>
  <c r="Y159"/>
  <c r="Y160"/>
  <c r="Y161"/>
  <c r="Y162"/>
  <c r="Y163"/>
  <c r="Y164"/>
  <c r="Y165"/>
  <c r="Y166"/>
  <c r="Z4"/>
  <c r="AA4"/>
  <c r="AB4"/>
  <c r="AD4" s="1"/>
  <c r="Z5"/>
  <c r="AA5"/>
  <c r="AB5"/>
  <c r="AD5" s="1"/>
  <c r="Z6"/>
  <c r="AA6"/>
  <c r="AB6"/>
  <c r="AD6" s="1"/>
  <c r="Z7"/>
  <c r="AA7"/>
  <c r="AB7"/>
  <c r="AD7" s="1"/>
  <c r="Z8"/>
  <c r="AC8" s="1"/>
  <c r="AA8"/>
  <c r="AB8"/>
  <c r="AD8" s="1"/>
  <c r="Z9"/>
  <c r="AA9"/>
  <c r="AB9"/>
  <c r="AD9" s="1"/>
  <c r="Z10"/>
  <c r="AA10"/>
  <c r="AB10"/>
  <c r="AD10" s="1"/>
  <c r="Z11"/>
  <c r="AA11"/>
  <c r="AB11"/>
  <c r="AD11" s="1"/>
  <c r="Z12"/>
  <c r="AA12"/>
  <c r="AB12"/>
  <c r="AD12" s="1"/>
  <c r="Z13"/>
  <c r="AA13"/>
  <c r="AB13"/>
  <c r="AD13" s="1"/>
  <c r="Z14"/>
  <c r="AA14"/>
  <c r="AB14"/>
  <c r="AD14" s="1"/>
  <c r="Z15"/>
  <c r="AA15"/>
  <c r="AB15"/>
  <c r="AD15" s="1"/>
  <c r="Z16"/>
  <c r="AA16"/>
  <c r="AB16"/>
  <c r="AD16" s="1"/>
  <c r="Z17"/>
  <c r="AC17" s="1"/>
  <c r="AA17"/>
  <c r="AB17"/>
  <c r="AD17" s="1"/>
  <c r="Z18"/>
  <c r="AA18"/>
  <c r="AB18"/>
  <c r="AD18" s="1"/>
  <c r="Z19"/>
  <c r="AC19" s="1"/>
  <c r="AA19"/>
  <c r="AB19"/>
  <c r="AD19" s="1"/>
  <c r="Z20"/>
  <c r="AA20"/>
  <c r="AB20"/>
  <c r="AD20" s="1"/>
  <c r="Z21"/>
  <c r="AC21" s="1"/>
  <c r="AA21"/>
  <c r="AB21"/>
  <c r="AD21" s="1"/>
  <c r="Z22"/>
  <c r="AA22"/>
  <c r="AB22"/>
  <c r="AD22" s="1"/>
  <c r="Z23"/>
  <c r="AA23"/>
  <c r="AB23"/>
  <c r="AD23" s="1"/>
  <c r="Z24"/>
  <c r="AA24"/>
  <c r="AB24"/>
  <c r="AD24" s="1"/>
  <c r="Z25"/>
  <c r="AA25"/>
  <c r="AB25"/>
  <c r="AD25" s="1"/>
  <c r="Z26"/>
  <c r="AA26"/>
  <c r="AB26"/>
  <c r="AD26" s="1"/>
  <c r="Z27"/>
  <c r="AA27"/>
  <c r="AB27"/>
  <c r="AD27" s="1"/>
  <c r="Z28"/>
  <c r="AC28" s="1"/>
  <c r="AA28"/>
  <c r="AB28"/>
  <c r="AD28" s="1"/>
  <c r="Z29"/>
  <c r="AA29"/>
  <c r="AB29"/>
  <c r="AD29" s="1"/>
  <c r="Z30"/>
  <c r="AA30"/>
  <c r="AB30"/>
  <c r="AD30" s="1"/>
  <c r="Z31"/>
  <c r="AA31"/>
  <c r="AB31"/>
  <c r="AD31" s="1"/>
  <c r="Z32"/>
  <c r="AA32"/>
  <c r="AB32"/>
  <c r="AD32" s="1"/>
  <c r="Z33"/>
  <c r="AC33" s="1"/>
  <c r="AA33"/>
  <c r="AB33"/>
  <c r="AD33" s="1"/>
  <c r="Z34"/>
  <c r="AA34"/>
  <c r="AB34"/>
  <c r="AD34" s="1"/>
  <c r="Z35"/>
  <c r="AC35" s="1"/>
  <c r="AA35"/>
  <c r="AB35"/>
  <c r="AD35" s="1"/>
  <c r="Z36"/>
  <c r="AA36"/>
  <c r="AB36"/>
  <c r="AD36" s="1"/>
  <c r="Z37"/>
  <c r="AC37" s="1"/>
  <c r="AA37"/>
  <c r="AB37"/>
  <c r="AD37" s="1"/>
  <c r="Z38"/>
  <c r="AA38"/>
  <c r="AB38"/>
  <c r="AD38" s="1"/>
  <c r="Z39"/>
  <c r="AC39" s="1"/>
  <c r="AA39"/>
  <c r="AB39"/>
  <c r="AD39" s="1"/>
  <c r="Z40"/>
  <c r="AA40"/>
  <c r="AB40"/>
  <c r="AD40" s="1"/>
  <c r="Z41"/>
  <c r="AC41" s="1"/>
  <c r="AA41"/>
  <c r="AB41"/>
  <c r="AD41" s="1"/>
  <c r="Z42"/>
  <c r="AA42"/>
  <c r="AB42"/>
  <c r="AD42" s="1"/>
  <c r="Z43"/>
  <c r="AC43" s="1"/>
  <c r="AA43"/>
  <c r="AB43"/>
  <c r="AD43" s="1"/>
  <c r="Z44"/>
  <c r="AA44"/>
  <c r="AB44"/>
  <c r="AD44" s="1"/>
  <c r="Z45"/>
  <c r="AC45" s="1"/>
  <c r="AA45"/>
  <c r="AB45"/>
  <c r="AD45" s="1"/>
  <c r="Z46"/>
  <c r="AA46"/>
  <c r="AB46"/>
  <c r="AD46" s="1"/>
  <c r="Z47"/>
  <c r="AA47"/>
  <c r="AB47"/>
  <c r="AD47" s="1"/>
  <c r="Z48"/>
  <c r="AA48"/>
  <c r="AB48"/>
  <c r="AD48" s="1"/>
  <c r="Z49"/>
  <c r="AC49" s="1"/>
  <c r="AA49"/>
  <c r="AB49"/>
  <c r="AD49" s="1"/>
  <c r="Z50"/>
  <c r="AA50"/>
  <c r="AB50"/>
  <c r="AD50" s="1"/>
  <c r="Z51"/>
  <c r="AA51"/>
  <c r="AB51"/>
  <c r="AD51" s="1"/>
  <c r="Z52"/>
  <c r="AA52"/>
  <c r="AB52"/>
  <c r="AD52" s="1"/>
  <c r="Z53"/>
  <c r="AA53"/>
  <c r="AB53"/>
  <c r="AD53" s="1"/>
  <c r="Z54"/>
  <c r="AA54"/>
  <c r="AB54"/>
  <c r="AD54" s="1"/>
  <c r="Z55"/>
  <c r="AA55"/>
  <c r="AB55"/>
  <c r="AD55" s="1"/>
  <c r="Z56"/>
  <c r="AA56"/>
  <c r="AB56"/>
  <c r="AD56" s="1"/>
  <c r="Z57"/>
  <c r="AA57"/>
  <c r="AB57"/>
  <c r="AD57" s="1"/>
  <c r="Z58"/>
  <c r="AA58"/>
  <c r="AB58"/>
  <c r="AD58" s="1"/>
  <c r="Z59"/>
  <c r="AC59" s="1"/>
  <c r="AA59"/>
  <c r="AB59"/>
  <c r="AD59" s="1"/>
  <c r="Z60"/>
  <c r="AA60"/>
  <c r="AB60"/>
  <c r="AD60" s="1"/>
  <c r="Z61"/>
  <c r="AC61" s="1"/>
  <c r="AA61"/>
  <c r="AB61"/>
  <c r="AD61" s="1"/>
  <c r="Z62"/>
  <c r="AA62"/>
  <c r="AB62"/>
  <c r="AD62" s="1"/>
  <c r="Z63"/>
  <c r="AC63" s="1"/>
  <c r="AA63"/>
  <c r="AB63"/>
  <c r="AD63" s="1"/>
  <c r="Z64"/>
  <c r="AA64"/>
  <c r="AB64"/>
  <c r="AD64" s="1"/>
  <c r="Z65"/>
  <c r="AC65" s="1"/>
  <c r="AA65"/>
  <c r="AB65"/>
  <c r="AD65" s="1"/>
  <c r="Z66"/>
  <c r="AA66"/>
  <c r="AB66"/>
  <c r="AD66" s="1"/>
  <c r="Z67"/>
  <c r="AC67" s="1"/>
  <c r="AA67"/>
  <c r="AB67"/>
  <c r="AD67" s="1"/>
  <c r="Z68"/>
  <c r="AA68"/>
  <c r="AB68"/>
  <c r="AD68" s="1"/>
  <c r="Z69"/>
  <c r="AA69"/>
  <c r="AB69"/>
  <c r="AD69" s="1"/>
  <c r="Z70"/>
  <c r="AA70"/>
  <c r="AB70"/>
  <c r="AD70" s="1"/>
  <c r="Z71"/>
  <c r="AA71"/>
  <c r="AB71"/>
  <c r="AD71" s="1"/>
  <c r="Z72"/>
  <c r="AA72"/>
  <c r="AB72"/>
  <c r="AD72" s="1"/>
  <c r="Z73"/>
  <c r="AC73" s="1"/>
  <c r="AA73"/>
  <c r="AB73"/>
  <c r="AD73" s="1"/>
  <c r="Z74"/>
  <c r="AA74"/>
  <c r="AB74"/>
  <c r="AD74" s="1"/>
  <c r="Z75"/>
  <c r="AC75" s="1"/>
  <c r="AA75"/>
  <c r="AB75"/>
  <c r="AD75" s="1"/>
  <c r="Z76"/>
  <c r="AA76"/>
  <c r="AB76"/>
  <c r="AD76" s="1"/>
  <c r="Z77"/>
  <c r="AC77" s="1"/>
  <c r="AA77"/>
  <c r="AB77"/>
  <c r="AD77" s="1"/>
  <c r="Z78"/>
  <c r="AA78"/>
  <c r="AB78"/>
  <c r="AD78" s="1"/>
  <c r="Z79"/>
  <c r="AC79" s="1"/>
  <c r="AA79"/>
  <c r="AB79"/>
  <c r="AD79" s="1"/>
  <c r="Z80"/>
  <c r="AA80"/>
  <c r="AB80"/>
  <c r="AD80" s="1"/>
  <c r="Z81"/>
  <c r="AC81" s="1"/>
  <c r="AA81"/>
  <c r="AB81"/>
  <c r="AD81" s="1"/>
  <c r="Z82"/>
  <c r="AA82"/>
  <c r="AB82"/>
  <c r="AD82" s="1"/>
  <c r="Z83"/>
  <c r="AC83" s="1"/>
  <c r="AA83"/>
  <c r="AB83"/>
  <c r="AD83" s="1"/>
  <c r="Z84"/>
  <c r="AA84"/>
  <c r="AB84"/>
  <c r="AD84" s="1"/>
  <c r="Z85"/>
  <c r="AC85" s="1"/>
  <c r="AA85"/>
  <c r="AB85"/>
  <c r="AD85" s="1"/>
  <c r="Z86"/>
  <c r="AA86"/>
  <c r="AB86"/>
  <c r="AD86" s="1"/>
  <c r="Z87"/>
  <c r="AC87" s="1"/>
  <c r="AA87"/>
  <c r="AB87"/>
  <c r="AD87" s="1"/>
  <c r="Z88"/>
  <c r="AA88"/>
  <c r="AB88"/>
  <c r="AD88" s="1"/>
  <c r="Z89"/>
  <c r="AC89" s="1"/>
  <c r="AA89"/>
  <c r="AB89"/>
  <c r="AD89" s="1"/>
  <c r="Z90"/>
  <c r="AA90"/>
  <c r="AB90"/>
  <c r="AD90" s="1"/>
  <c r="Z91"/>
  <c r="AC91" s="1"/>
  <c r="AA91"/>
  <c r="AB91"/>
  <c r="AD91" s="1"/>
  <c r="Z92"/>
  <c r="AA92"/>
  <c r="AB92"/>
  <c r="AD92" s="1"/>
  <c r="Z93"/>
  <c r="AC93" s="1"/>
  <c r="AA93"/>
  <c r="AB93"/>
  <c r="AD93" s="1"/>
  <c r="Z94"/>
  <c r="AA94"/>
  <c r="AB94"/>
  <c r="AD94" s="1"/>
  <c r="Z95"/>
  <c r="AC95" s="1"/>
  <c r="AA95"/>
  <c r="AB95"/>
  <c r="AD95" s="1"/>
  <c r="Z96"/>
  <c r="AA96"/>
  <c r="AB96"/>
  <c r="AD96" s="1"/>
  <c r="Z97"/>
  <c r="AC97" s="1"/>
  <c r="AA97"/>
  <c r="AB97"/>
  <c r="AD97" s="1"/>
  <c r="Z98"/>
  <c r="AA98"/>
  <c r="AB98"/>
  <c r="AD98" s="1"/>
  <c r="Z99"/>
  <c r="AC99" s="1"/>
  <c r="AA99"/>
  <c r="AB99"/>
  <c r="AD99" s="1"/>
  <c r="Z100"/>
  <c r="AA100"/>
  <c r="AB100"/>
  <c r="AD100" s="1"/>
  <c r="Z101"/>
  <c r="AA101"/>
  <c r="AB101"/>
  <c r="AD101" s="1"/>
  <c r="Z102"/>
  <c r="AA102"/>
  <c r="AB102"/>
  <c r="AD102" s="1"/>
  <c r="Z103"/>
  <c r="AC103" s="1"/>
  <c r="AA103"/>
  <c r="AB103"/>
  <c r="AD103" s="1"/>
  <c r="Z104"/>
  <c r="AA104"/>
  <c r="AB104"/>
  <c r="AD104" s="1"/>
  <c r="Z105"/>
  <c r="AA105"/>
  <c r="AB105"/>
  <c r="AD105" s="1"/>
  <c r="Z106"/>
  <c r="AA106"/>
  <c r="AB106"/>
  <c r="AD106" s="1"/>
  <c r="Z107"/>
  <c r="AA107"/>
  <c r="AB107"/>
  <c r="AD107" s="1"/>
  <c r="Z108"/>
  <c r="AA108"/>
  <c r="AB108"/>
  <c r="AD108" s="1"/>
  <c r="Z109"/>
  <c r="AA109"/>
  <c r="AB109"/>
  <c r="AD109" s="1"/>
  <c r="Z110"/>
  <c r="AA110"/>
  <c r="AB110"/>
  <c r="AD110" s="1"/>
  <c r="Z111"/>
  <c r="AA111"/>
  <c r="AB111"/>
  <c r="AD111" s="1"/>
  <c r="Z112"/>
  <c r="AA112"/>
  <c r="AB112"/>
  <c r="AD112" s="1"/>
  <c r="Z113"/>
  <c r="AA113"/>
  <c r="AB113"/>
  <c r="AD113" s="1"/>
  <c r="Z114"/>
  <c r="AA114"/>
  <c r="AB114"/>
  <c r="AD114" s="1"/>
  <c r="Z115"/>
  <c r="AA115"/>
  <c r="AB115"/>
  <c r="AD115" s="1"/>
  <c r="Z116"/>
  <c r="AC116" s="1"/>
  <c r="AA116"/>
  <c r="AB116"/>
  <c r="AD116" s="1"/>
  <c r="Z117"/>
  <c r="AA117"/>
  <c r="AB117"/>
  <c r="AD117" s="1"/>
  <c r="Z118"/>
  <c r="AC118" s="1"/>
  <c r="AA118"/>
  <c r="AB118"/>
  <c r="AD118" s="1"/>
  <c r="Z119"/>
  <c r="AA119"/>
  <c r="AB119"/>
  <c r="AD119" s="1"/>
  <c r="Z120"/>
  <c r="AC120" s="1"/>
  <c r="AA120"/>
  <c r="AB120"/>
  <c r="AD120" s="1"/>
  <c r="Z121"/>
  <c r="AA121"/>
  <c r="AB121"/>
  <c r="AD121" s="1"/>
  <c r="Z122"/>
  <c r="AC122" s="1"/>
  <c r="AA122"/>
  <c r="AB122"/>
  <c r="AD122" s="1"/>
  <c r="Z123"/>
  <c r="AA123"/>
  <c r="AB123"/>
  <c r="AD123" s="1"/>
  <c r="Z124"/>
  <c r="AC124" s="1"/>
  <c r="AA124"/>
  <c r="AB124"/>
  <c r="AD124" s="1"/>
  <c r="Z125"/>
  <c r="AA125"/>
  <c r="AB125"/>
  <c r="AD125" s="1"/>
  <c r="Z126"/>
  <c r="AA126"/>
  <c r="AB126"/>
  <c r="AD126" s="1"/>
  <c r="Z127"/>
  <c r="AA127"/>
  <c r="AB127"/>
  <c r="AD127" s="1"/>
  <c r="Z128"/>
  <c r="AA128"/>
  <c r="AB128"/>
  <c r="AD128" s="1"/>
  <c r="Z129"/>
  <c r="AA129"/>
  <c r="AB129"/>
  <c r="AD129" s="1"/>
  <c r="Z130"/>
  <c r="AA130"/>
  <c r="AB130"/>
  <c r="AD130" s="1"/>
  <c r="Z131"/>
  <c r="AA131"/>
  <c r="AB131"/>
  <c r="AD131" s="1"/>
  <c r="Z132"/>
  <c r="AA132"/>
  <c r="AB132"/>
  <c r="AD132" s="1"/>
  <c r="Z133"/>
  <c r="AA133"/>
  <c r="AB133"/>
  <c r="AD133" s="1"/>
  <c r="Z134"/>
  <c r="AC134" s="1"/>
  <c r="AA134"/>
  <c r="AB134"/>
  <c r="AD134" s="1"/>
  <c r="Z135"/>
  <c r="AA135"/>
  <c r="AB135"/>
  <c r="AD135" s="1"/>
  <c r="Z136"/>
  <c r="AA136"/>
  <c r="AB136"/>
  <c r="AD136" s="1"/>
  <c r="Z137"/>
  <c r="AA137"/>
  <c r="AB137"/>
  <c r="AD137" s="1"/>
  <c r="Z138"/>
  <c r="AA138"/>
  <c r="AB138"/>
  <c r="AD138" s="1"/>
  <c r="Z139"/>
  <c r="AA139"/>
  <c r="AB139"/>
  <c r="AD139" s="1"/>
  <c r="Z140"/>
  <c r="AA140"/>
  <c r="AB140"/>
  <c r="AD140" s="1"/>
  <c r="Z141"/>
  <c r="AC141" s="1"/>
  <c r="AA141"/>
  <c r="AB141"/>
  <c r="AD141" s="1"/>
  <c r="Z142"/>
  <c r="AA142"/>
  <c r="AB142"/>
  <c r="AD142" s="1"/>
  <c r="Z143"/>
  <c r="AC143" s="1"/>
  <c r="AA143"/>
  <c r="AB143"/>
  <c r="AD143" s="1"/>
  <c r="Z144"/>
  <c r="AA144"/>
  <c r="AB144"/>
  <c r="AD144" s="1"/>
  <c r="Z145"/>
  <c r="AC145" s="1"/>
  <c r="AA145"/>
  <c r="AB145"/>
  <c r="AD145" s="1"/>
  <c r="Z146"/>
  <c r="AA146"/>
  <c r="AB146"/>
  <c r="AD146" s="1"/>
  <c r="Z147"/>
  <c r="AC147" s="1"/>
  <c r="AA147"/>
  <c r="AB147"/>
  <c r="AD147" s="1"/>
  <c r="Z148"/>
  <c r="AA148"/>
  <c r="AB148"/>
  <c r="AD148" s="1"/>
  <c r="Z149"/>
  <c r="AC149" s="1"/>
  <c r="AA149"/>
  <c r="AB149"/>
  <c r="AD149" s="1"/>
  <c r="Z150"/>
  <c r="AA150"/>
  <c r="AB150"/>
  <c r="AD150" s="1"/>
  <c r="Z151"/>
  <c r="AC151" s="1"/>
  <c r="AA151"/>
  <c r="AB151"/>
  <c r="AD151" s="1"/>
  <c r="Z152"/>
  <c r="AA152"/>
  <c r="AB152"/>
  <c r="AD152" s="1"/>
  <c r="Z153"/>
  <c r="AC153" s="1"/>
  <c r="AA153"/>
  <c r="AB153"/>
  <c r="AD153" s="1"/>
  <c r="Z154"/>
  <c r="AA154"/>
  <c r="AB154"/>
  <c r="AD154" s="1"/>
  <c r="Z155"/>
  <c r="AC155" s="1"/>
  <c r="AA155"/>
  <c r="AB155"/>
  <c r="AD155" s="1"/>
  <c r="Z156"/>
  <c r="AA156"/>
  <c r="AB156"/>
  <c r="AD156" s="1"/>
  <c r="Z157"/>
  <c r="AC157" s="1"/>
  <c r="AA157"/>
  <c r="AB157"/>
  <c r="AD157" s="1"/>
  <c r="Z158"/>
  <c r="AA158"/>
  <c r="AB158"/>
  <c r="AD158" s="1"/>
  <c r="Z159"/>
  <c r="AC159" s="1"/>
  <c r="AA159"/>
  <c r="AB159"/>
  <c r="AD159" s="1"/>
  <c r="Z160"/>
  <c r="AA160"/>
  <c r="AB160"/>
  <c r="AD160" s="1"/>
  <c r="Z161"/>
  <c r="AC161" s="1"/>
  <c r="AA161"/>
  <c r="AB161"/>
  <c r="AD161" s="1"/>
  <c r="Z162"/>
  <c r="AA162"/>
  <c r="AB162"/>
  <c r="AD162" s="1"/>
  <c r="Z163"/>
  <c r="AC163" s="1"/>
  <c r="AA163"/>
  <c r="AB163"/>
  <c r="AD163" s="1"/>
  <c r="Z164"/>
  <c r="AA164"/>
  <c r="AB164"/>
  <c r="AD164" s="1"/>
  <c r="Z165"/>
  <c r="AC165" s="1"/>
  <c r="AA165"/>
  <c r="AB165"/>
  <c r="AD165" s="1"/>
  <c r="Z166"/>
  <c r="AA166"/>
  <c r="AB166"/>
  <c r="AD166" s="1"/>
  <c r="AA3"/>
  <c r="AB3"/>
  <c r="AD3" s="1"/>
  <c r="Z3"/>
  <c r="AC3" s="1"/>
  <c r="Y3"/>
  <c r="C26" i="14"/>
  <c r="AG116" i="17" s="1"/>
  <c r="C25" i="14"/>
  <c r="C24"/>
  <c r="U48" l="1"/>
  <c r="J66" s="1"/>
  <c r="AS13" i="22"/>
  <c r="AS16"/>
  <c r="G66" i="14"/>
  <c r="G68"/>
  <c r="L52"/>
  <c r="L50"/>
  <c r="M48"/>
  <c r="V48" s="1"/>
  <c r="K66" s="1"/>
  <c r="D61" i="18"/>
  <c r="AS7" i="22"/>
  <c r="AS10"/>
  <c r="G74" i="14"/>
  <c r="G67"/>
  <c r="H69"/>
  <c r="L51"/>
  <c r="L49"/>
  <c r="D62" i="18"/>
  <c r="D60"/>
  <c r="D68"/>
  <c r="K16" i="22"/>
  <c r="F14" i="18"/>
  <c r="J16" i="22"/>
  <c r="E14" i="18"/>
  <c r="F75" i="14"/>
  <c r="F76"/>
  <c r="F73"/>
  <c r="AE5" i="17"/>
  <c r="AE7"/>
  <c r="AE9"/>
  <c r="AE11"/>
  <c r="AE13"/>
  <c r="AE15"/>
  <c r="AE17"/>
  <c r="AE19"/>
  <c r="AE21"/>
  <c r="AE23"/>
  <c r="AE25"/>
  <c r="AE27"/>
  <c r="AE29"/>
  <c r="AE31"/>
  <c r="AE33"/>
  <c r="AE35"/>
  <c r="AE37"/>
  <c r="AE39"/>
  <c r="AE41"/>
  <c r="AE43"/>
  <c r="AE45"/>
  <c r="AE47"/>
  <c r="AE49"/>
  <c r="AE51"/>
  <c r="AE53"/>
  <c r="AE55"/>
  <c r="AE57"/>
  <c r="AE59"/>
  <c r="AE61"/>
  <c r="AE63"/>
  <c r="AE65"/>
  <c r="AE67"/>
  <c r="AE69"/>
  <c r="AE71"/>
  <c r="AE73"/>
  <c r="AE75"/>
  <c r="AE77"/>
  <c r="AE79"/>
  <c r="AE81"/>
  <c r="AE83"/>
  <c r="AE85"/>
  <c r="AE87"/>
  <c r="AE89"/>
  <c r="AE91"/>
  <c r="AE93"/>
  <c r="AE95"/>
  <c r="AE97"/>
  <c r="AE99"/>
  <c r="AE101"/>
  <c r="AE103"/>
  <c r="AE105"/>
  <c r="AE107"/>
  <c r="AE109"/>
  <c r="AE111"/>
  <c r="AE113"/>
  <c r="AE4"/>
  <c r="AE6"/>
  <c r="AE8"/>
  <c r="AE10"/>
  <c r="AE12"/>
  <c r="AE14"/>
  <c r="AE16"/>
  <c r="AE18"/>
  <c r="AE20"/>
  <c r="AE22"/>
  <c r="AE24"/>
  <c r="AE26"/>
  <c r="AE28"/>
  <c r="AE30"/>
  <c r="AE32"/>
  <c r="AE34"/>
  <c r="AE36"/>
  <c r="AE38"/>
  <c r="AE40"/>
  <c r="AE42"/>
  <c r="AE44"/>
  <c r="AE46"/>
  <c r="AE48"/>
  <c r="AE50"/>
  <c r="AE52"/>
  <c r="AE54"/>
  <c r="AE56"/>
  <c r="AE58"/>
  <c r="AE60"/>
  <c r="AE62"/>
  <c r="AE64"/>
  <c r="AE66"/>
  <c r="AE68"/>
  <c r="AE70"/>
  <c r="AE72"/>
  <c r="AE74"/>
  <c r="AE76"/>
  <c r="AE78"/>
  <c r="AE80"/>
  <c r="AE82"/>
  <c r="AE84"/>
  <c r="AE86"/>
  <c r="AE88"/>
  <c r="AE90"/>
  <c r="AE92"/>
  <c r="AE94"/>
  <c r="AE96"/>
  <c r="AE98"/>
  <c r="AE100"/>
  <c r="AE102"/>
  <c r="AE104"/>
  <c r="AE106"/>
  <c r="AE108"/>
  <c r="AE110"/>
  <c r="AE112"/>
  <c r="AE114"/>
  <c r="AF4"/>
  <c r="AF6"/>
  <c r="AF8"/>
  <c r="AF10"/>
  <c r="AF12"/>
  <c r="AF14"/>
  <c r="AF16"/>
  <c r="AF18"/>
  <c r="AF20"/>
  <c r="AF22"/>
  <c r="AF24"/>
  <c r="AF26"/>
  <c r="AF28"/>
  <c r="AF30"/>
  <c r="AF32"/>
  <c r="AF34"/>
  <c r="AF36"/>
  <c r="AF38"/>
  <c r="AF40"/>
  <c r="AF42"/>
  <c r="AF44"/>
  <c r="AF46"/>
  <c r="AF48"/>
  <c r="AF50"/>
  <c r="AF52"/>
  <c r="AF54"/>
  <c r="AF56"/>
  <c r="AF58"/>
  <c r="AF60"/>
  <c r="AF62"/>
  <c r="AF64"/>
  <c r="AF66"/>
  <c r="AF68"/>
  <c r="AF70"/>
  <c r="AF72"/>
  <c r="AF74"/>
  <c r="AF76"/>
  <c r="AF78"/>
  <c r="AF80"/>
  <c r="AF82"/>
  <c r="AF84"/>
  <c r="AF86"/>
  <c r="AF88"/>
  <c r="AF90"/>
  <c r="AF92"/>
  <c r="AF94"/>
  <c r="AF96"/>
  <c r="AF98"/>
  <c r="AF100"/>
  <c r="AF102"/>
  <c r="AF104"/>
  <c r="AF106"/>
  <c r="AF108"/>
  <c r="AF110"/>
  <c r="AF112"/>
  <c r="AF114"/>
  <c r="AF5"/>
  <c r="AF7"/>
  <c r="AF9"/>
  <c r="AF11"/>
  <c r="AF13"/>
  <c r="AF15"/>
  <c r="AF17"/>
  <c r="AF19"/>
  <c r="AF21"/>
  <c r="AF23"/>
  <c r="AF25"/>
  <c r="AF27"/>
  <c r="AF29"/>
  <c r="AF31"/>
  <c r="AF33"/>
  <c r="AF35"/>
  <c r="AF37"/>
  <c r="AF39"/>
  <c r="AF41"/>
  <c r="AF43"/>
  <c r="AF45"/>
  <c r="AF47"/>
  <c r="AF49"/>
  <c r="AF51"/>
  <c r="AF53"/>
  <c r="AF55"/>
  <c r="AF57"/>
  <c r="AF59"/>
  <c r="AF61"/>
  <c r="AF63"/>
  <c r="AF65"/>
  <c r="AF67"/>
  <c r="AF69"/>
  <c r="AF71"/>
  <c r="AF73"/>
  <c r="AF75"/>
  <c r="AF77"/>
  <c r="AF79"/>
  <c r="AF81"/>
  <c r="AF83"/>
  <c r="AF85"/>
  <c r="AF87"/>
  <c r="AF89"/>
  <c r="AF91"/>
  <c r="AF93"/>
  <c r="AF95"/>
  <c r="AF97"/>
  <c r="AF99"/>
  <c r="AF101"/>
  <c r="AF103"/>
  <c r="AF105"/>
  <c r="AF107"/>
  <c r="AF109"/>
  <c r="AF111"/>
  <c r="AF113"/>
  <c r="AH103"/>
  <c r="AN103" s="1"/>
  <c r="AH97"/>
  <c r="AN97" s="1"/>
  <c r="AH28"/>
  <c r="AH8"/>
  <c r="AF3"/>
  <c r="AG166"/>
  <c r="AE166"/>
  <c r="AF165"/>
  <c r="AG164"/>
  <c r="AE164"/>
  <c r="AF163"/>
  <c r="AG162"/>
  <c r="AE162"/>
  <c r="AF161"/>
  <c r="AG160"/>
  <c r="AE160"/>
  <c r="AF159"/>
  <c r="AG158"/>
  <c r="AE158"/>
  <c r="AF157"/>
  <c r="AG156"/>
  <c r="AE156"/>
  <c r="AF155"/>
  <c r="AG154"/>
  <c r="AE154"/>
  <c r="AF153"/>
  <c r="AG152"/>
  <c r="AE152"/>
  <c r="AF151"/>
  <c r="AG150"/>
  <c r="AE150"/>
  <c r="AF149"/>
  <c r="AG148"/>
  <c r="AE148"/>
  <c r="AF147"/>
  <c r="AG146"/>
  <c r="AE146"/>
  <c r="AF145"/>
  <c r="AG144"/>
  <c r="AE144"/>
  <c r="AF143"/>
  <c r="AG142"/>
  <c r="AE142"/>
  <c r="AF141"/>
  <c r="AG140"/>
  <c r="AE140"/>
  <c r="AF139"/>
  <c r="AG138"/>
  <c r="AE138"/>
  <c r="AF137"/>
  <c r="AG136"/>
  <c r="AE136"/>
  <c r="AF135"/>
  <c r="AG134"/>
  <c r="AE134"/>
  <c r="AH134" s="1"/>
  <c r="AN134" s="1"/>
  <c r="AF133"/>
  <c r="AG132"/>
  <c r="AE132"/>
  <c r="AF131"/>
  <c r="AG130"/>
  <c r="AE130"/>
  <c r="AF129"/>
  <c r="AG128"/>
  <c r="AE128"/>
  <c r="AF127"/>
  <c r="AG126"/>
  <c r="AE126"/>
  <c r="AF125"/>
  <c r="AG124"/>
  <c r="AE124"/>
  <c r="AH124" s="1"/>
  <c r="AN124" s="1"/>
  <c r="AP124" s="1"/>
  <c r="AF123"/>
  <c r="AG122"/>
  <c r="AE122"/>
  <c r="AH122" s="1"/>
  <c r="AN122" s="1"/>
  <c r="AF121"/>
  <c r="AG120"/>
  <c r="AE120"/>
  <c r="AH120" s="1"/>
  <c r="AN120" s="1"/>
  <c r="AF119"/>
  <c r="AG118"/>
  <c r="AE118"/>
  <c r="AH118" s="1"/>
  <c r="AN118" s="1"/>
  <c r="AF117"/>
  <c r="AE116"/>
  <c r="AH116" s="1"/>
  <c r="AN116" s="1"/>
  <c r="AF115"/>
  <c r="AG5"/>
  <c r="AG7"/>
  <c r="AG9"/>
  <c r="AG11"/>
  <c r="AG13"/>
  <c r="AG15"/>
  <c r="AG17"/>
  <c r="AG19"/>
  <c r="AG21"/>
  <c r="AG23"/>
  <c r="AG25"/>
  <c r="AG27"/>
  <c r="AG29"/>
  <c r="AG31"/>
  <c r="AG33"/>
  <c r="AG35"/>
  <c r="AG37"/>
  <c r="AG39"/>
  <c r="AG41"/>
  <c r="AG43"/>
  <c r="AG45"/>
  <c r="AG47"/>
  <c r="AG49"/>
  <c r="AG51"/>
  <c r="AG53"/>
  <c r="AG55"/>
  <c r="AG57"/>
  <c r="AG59"/>
  <c r="AG61"/>
  <c r="AG63"/>
  <c r="AG65"/>
  <c r="AG67"/>
  <c r="AG69"/>
  <c r="AG71"/>
  <c r="AG73"/>
  <c r="AG75"/>
  <c r="AG77"/>
  <c r="AG79"/>
  <c r="AG81"/>
  <c r="AG83"/>
  <c r="AG85"/>
  <c r="AG87"/>
  <c r="AG89"/>
  <c r="AG91"/>
  <c r="AG93"/>
  <c r="AG95"/>
  <c r="AG97"/>
  <c r="AG99"/>
  <c r="AG101"/>
  <c r="AG103"/>
  <c r="AG105"/>
  <c r="AG107"/>
  <c r="AG109"/>
  <c r="AG111"/>
  <c r="AG113"/>
  <c r="AG4"/>
  <c r="AG6"/>
  <c r="AG8"/>
  <c r="AG10"/>
  <c r="AG12"/>
  <c r="AG14"/>
  <c r="AG16"/>
  <c r="AG18"/>
  <c r="AG20"/>
  <c r="AG22"/>
  <c r="AG24"/>
  <c r="AG26"/>
  <c r="AG28"/>
  <c r="AG30"/>
  <c r="AG32"/>
  <c r="AG34"/>
  <c r="AG36"/>
  <c r="AG38"/>
  <c r="AG40"/>
  <c r="AG42"/>
  <c r="AG44"/>
  <c r="AG46"/>
  <c r="AG48"/>
  <c r="AG50"/>
  <c r="AG52"/>
  <c r="AG54"/>
  <c r="AG56"/>
  <c r="AG58"/>
  <c r="AG60"/>
  <c r="AG62"/>
  <c r="AG64"/>
  <c r="AG66"/>
  <c r="AG68"/>
  <c r="AG70"/>
  <c r="AG72"/>
  <c r="AG74"/>
  <c r="AG76"/>
  <c r="AG78"/>
  <c r="AG80"/>
  <c r="AG82"/>
  <c r="AG84"/>
  <c r="AG86"/>
  <c r="AG88"/>
  <c r="AG90"/>
  <c r="AG92"/>
  <c r="AG94"/>
  <c r="AG96"/>
  <c r="AG98"/>
  <c r="AG100"/>
  <c r="AG102"/>
  <c r="AG104"/>
  <c r="AG106"/>
  <c r="AG108"/>
  <c r="AG110"/>
  <c r="AG112"/>
  <c r="AG114"/>
  <c r="AH99"/>
  <c r="AN99" s="1"/>
  <c r="AH95"/>
  <c r="AN95" s="1"/>
  <c r="AH93"/>
  <c r="AN93" s="1"/>
  <c r="AH91"/>
  <c r="AN91" s="1"/>
  <c r="AH89"/>
  <c r="AN89" s="1"/>
  <c r="AH87"/>
  <c r="AN87" s="1"/>
  <c r="AH85"/>
  <c r="AN85" s="1"/>
  <c r="AH83"/>
  <c r="AN83" s="1"/>
  <c r="AH81"/>
  <c r="AN81" s="1"/>
  <c r="AP81" s="1"/>
  <c r="AH79"/>
  <c r="AN79" s="1"/>
  <c r="AP79" s="1"/>
  <c r="AH77"/>
  <c r="AN77" s="1"/>
  <c r="AH75"/>
  <c r="AN75" s="1"/>
  <c r="AH73"/>
  <c r="AN73" s="1"/>
  <c r="AH67"/>
  <c r="AN67" s="1"/>
  <c r="AH65"/>
  <c r="AN65" s="1"/>
  <c r="AH63"/>
  <c r="AN63" s="1"/>
  <c r="AP63" s="1"/>
  <c r="AH61"/>
  <c r="AN61" s="1"/>
  <c r="AP61" s="1"/>
  <c r="AH59"/>
  <c r="AN59" s="1"/>
  <c r="AH49"/>
  <c r="AH45"/>
  <c r="AH43"/>
  <c r="AH41"/>
  <c r="AH39"/>
  <c r="AH37"/>
  <c r="AH35"/>
  <c r="AH33"/>
  <c r="AH21"/>
  <c r="AH19"/>
  <c r="AH17"/>
  <c r="AE3"/>
  <c r="AH3" s="1"/>
  <c r="AG3"/>
  <c r="AF166"/>
  <c r="AG165"/>
  <c r="AE165"/>
  <c r="AH165" s="1"/>
  <c r="AF164"/>
  <c r="AG163"/>
  <c r="AI163" s="1"/>
  <c r="AE163"/>
  <c r="AH163" s="1"/>
  <c r="AF162"/>
  <c r="AG161"/>
  <c r="AE161"/>
  <c r="AH161" s="1"/>
  <c r="AF160"/>
  <c r="AG159"/>
  <c r="AI159" s="1"/>
  <c r="AE159"/>
  <c r="AH159" s="1"/>
  <c r="AF158"/>
  <c r="AG157"/>
  <c r="AE157"/>
  <c r="AH157" s="1"/>
  <c r="AF156"/>
  <c r="AG155"/>
  <c r="AI155" s="1"/>
  <c r="AE155"/>
  <c r="AH155" s="1"/>
  <c r="AF154"/>
  <c r="AG153"/>
  <c r="AE153"/>
  <c r="AH153" s="1"/>
  <c r="AF152"/>
  <c r="AG151"/>
  <c r="AI151" s="1"/>
  <c r="AE151"/>
  <c r="AH151" s="1"/>
  <c r="AF150"/>
  <c r="AG149"/>
  <c r="AE149"/>
  <c r="AH149" s="1"/>
  <c r="AF148"/>
  <c r="AG147"/>
  <c r="AI147" s="1"/>
  <c r="AE147"/>
  <c r="AH147" s="1"/>
  <c r="AF146"/>
  <c r="AG145"/>
  <c r="AE145"/>
  <c r="AH145" s="1"/>
  <c r="AF144"/>
  <c r="AG143"/>
  <c r="AI143" s="1"/>
  <c r="AE143"/>
  <c r="AH143" s="1"/>
  <c r="AF142"/>
  <c r="AG141"/>
  <c r="AE141"/>
  <c r="AH141" s="1"/>
  <c r="AF140"/>
  <c r="AG139"/>
  <c r="AI139" s="1"/>
  <c r="AE139"/>
  <c r="AF138"/>
  <c r="AG137"/>
  <c r="AE137"/>
  <c r="AF136"/>
  <c r="AG135"/>
  <c r="AI135" s="1"/>
  <c r="AO135" s="1"/>
  <c r="AE135"/>
  <c r="AF134"/>
  <c r="AG133"/>
  <c r="AE133"/>
  <c r="AF132"/>
  <c r="AG131"/>
  <c r="AI131" s="1"/>
  <c r="AO131" s="1"/>
  <c r="AE131"/>
  <c r="AF130"/>
  <c r="AG129"/>
  <c r="AE129"/>
  <c r="AF128"/>
  <c r="AG127"/>
  <c r="AI127" s="1"/>
  <c r="AO127" s="1"/>
  <c r="AQ127" s="1"/>
  <c r="AE127"/>
  <c r="AF126"/>
  <c r="AG125"/>
  <c r="AE125"/>
  <c r="AF124"/>
  <c r="AG123"/>
  <c r="AI123" s="1"/>
  <c r="AO123" s="1"/>
  <c r="AQ123" s="1"/>
  <c r="AE123"/>
  <c r="AF122"/>
  <c r="AG121"/>
  <c r="AE121"/>
  <c r="AF120"/>
  <c r="AG119"/>
  <c r="AI119" s="1"/>
  <c r="AO119" s="1"/>
  <c r="AE119"/>
  <c r="AF118"/>
  <c r="AG117"/>
  <c r="AE117"/>
  <c r="AF116"/>
  <c r="AG115"/>
  <c r="AI115" s="1"/>
  <c r="AO115" s="1"/>
  <c r="AE115"/>
  <c r="AI165"/>
  <c r="AI161"/>
  <c r="AI157"/>
  <c r="AI153"/>
  <c r="AI149"/>
  <c r="AI145"/>
  <c r="AI141"/>
  <c r="AI137"/>
  <c r="AI133"/>
  <c r="AO133" s="1"/>
  <c r="AI129"/>
  <c r="AO129" s="1"/>
  <c r="AI125"/>
  <c r="AO125" s="1"/>
  <c r="AQ125" s="1"/>
  <c r="AI121"/>
  <c r="AO121" s="1"/>
  <c r="AI117"/>
  <c r="AO117" s="1"/>
  <c r="AI113"/>
  <c r="AO113" s="1"/>
  <c r="AI111"/>
  <c r="AO111" s="1"/>
  <c r="AI109"/>
  <c r="AO109" s="1"/>
  <c r="AI107"/>
  <c r="AO107" s="1"/>
  <c r="AI105"/>
  <c r="AO105" s="1"/>
  <c r="AI103"/>
  <c r="AO103" s="1"/>
  <c r="AI101"/>
  <c r="AO101" s="1"/>
  <c r="AI99"/>
  <c r="AO99" s="1"/>
  <c r="AI97"/>
  <c r="AO97" s="1"/>
  <c r="AI95"/>
  <c r="AO95" s="1"/>
  <c r="AI93"/>
  <c r="AO93" s="1"/>
  <c r="AI91"/>
  <c r="AO91" s="1"/>
  <c r="AI89"/>
  <c r="AO89" s="1"/>
  <c r="AI87"/>
  <c r="AO87" s="1"/>
  <c r="AI85"/>
  <c r="AO85" s="1"/>
  <c r="AI83"/>
  <c r="AO83" s="1"/>
  <c r="AI81"/>
  <c r="AO81" s="1"/>
  <c r="AQ81" s="1"/>
  <c r="AI79"/>
  <c r="AO79" s="1"/>
  <c r="AQ79" s="1"/>
  <c r="AI77"/>
  <c r="AO77" s="1"/>
  <c r="AI75"/>
  <c r="AO75" s="1"/>
  <c r="AI73"/>
  <c r="AO73" s="1"/>
  <c r="AI71"/>
  <c r="AO71" s="1"/>
  <c r="AI69"/>
  <c r="AO69" s="1"/>
  <c r="AI67"/>
  <c r="AO67" s="1"/>
  <c r="AI65"/>
  <c r="AO65" s="1"/>
  <c r="AI63"/>
  <c r="AO63" s="1"/>
  <c r="AQ63" s="1"/>
  <c r="AI61"/>
  <c r="AO61" s="1"/>
  <c r="AQ61" s="1"/>
  <c r="AI59"/>
  <c r="AO59" s="1"/>
  <c r="AI57"/>
  <c r="AO57" s="1"/>
  <c r="AI55"/>
  <c r="AO55" s="1"/>
  <c r="AQ55" s="1"/>
  <c r="AI53"/>
  <c r="AO53" s="1"/>
  <c r="AI51"/>
  <c r="AI49"/>
  <c r="AI47"/>
  <c r="AI45"/>
  <c r="AI43"/>
  <c r="AI41"/>
  <c r="AI39"/>
  <c r="AI37"/>
  <c r="AI35"/>
  <c r="AI33"/>
  <c r="AI31"/>
  <c r="AI29"/>
  <c r="AI27"/>
  <c r="AI25"/>
  <c r="AI23"/>
  <c r="AI21"/>
  <c r="AI19"/>
  <c r="AI17"/>
  <c r="AI15"/>
  <c r="AI13"/>
  <c r="AI11"/>
  <c r="AI9"/>
  <c r="AI7"/>
  <c r="AI5"/>
  <c r="AI166"/>
  <c r="AI164"/>
  <c r="AI162"/>
  <c r="AI160"/>
  <c r="AI158"/>
  <c r="AI156"/>
  <c r="AI154"/>
  <c r="AI152"/>
  <c r="AI150"/>
  <c r="AI148"/>
  <c r="AI146"/>
  <c r="AI144"/>
  <c r="AI142"/>
  <c r="AI140"/>
  <c r="AI138"/>
  <c r="AI136"/>
  <c r="AI134"/>
  <c r="AO134" s="1"/>
  <c r="AI132"/>
  <c r="AO132" s="1"/>
  <c r="AI130"/>
  <c r="AO130" s="1"/>
  <c r="AI128"/>
  <c r="AO128" s="1"/>
  <c r="AI126"/>
  <c r="AO126" s="1"/>
  <c r="AQ126" s="1"/>
  <c r="AI124"/>
  <c r="AO124" s="1"/>
  <c r="AQ124" s="1"/>
  <c r="AI122"/>
  <c r="AO122" s="1"/>
  <c r="AI120"/>
  <c r="AO120" s="1"/>
  <c r="AI118"/>
  <c r="AO118" s="1"/>
  <c r="AI116"/>
  <c r="AO116" s="1"/>
  <c r="AI114"/>
  <c r="AO114" s="1"/>
  <c r="AI112"/>
  <c r="AO112" s="1"/>
  <c r="AI110"/>
  <c r="AO110" s="1"/>
  <c r="AI108"/>
  <c r="AO108" s="1"/>
  <c r="AI106"/>
  <c r="AO106" s="1"/>
  <c r="AI104"/>
  <c r="AO104" s="1"/>
  <c r="AI102"/>
  <c r="AO102" s="1"/>
  <c r="AI100"/>
  <c r="AO100" s="1"/>
  <c r="AI98"/>
  <c r="AO98" s="1"/>
  <c r="AI96"/>
  <c r="AO96" s="1"/>
  <c r="AI94"/>
  <c r="AO94" s="1"/>
  <c r="AI92"/>
  <c r="AO92" s="1"/>
  <c r="AI90"/>
  <c r="AO90" s="1"/>
  <c r="AI88"/>
  <c r="AO88" s="1"/>
  <c r="AI86"/>
  <c r="AO86" s="1"/>
  <c r="AI84"/>
  <c r="AO84" s="1"/>
  <c r="AI82"/>
  <c r="AO82" s="1"/>
  <c r="AQ82" s="1"/>
  <c r="AI80"/>
  <c r="AO80" s="1"/>
  <c r="AI78"/>
  <c r="AO78" s="1"/>
  <c r="AI76"/>
  <c r="AO76" s="1"/>
  <c r="AI74"/>
  <c r="AO74" s="1"/>
  <c r="AI72"/>
  <c r="AO72" s="1"/>
  <c r="AI70"/>
  <c r="AO70" s="1"/>
  <c r="AQ70" s="1"/>
  <c r="AI68"/>
  <c r="AO68" s="1"/>
  <c r="AI66"/>
  <c r="AO66" s="1"/>
  <c r="AI64"/>
  <c r="AO64" s="1"/>
  <c r="AQ64" s="1"/>
  <c r="AI62"/>
  <c r="AO62" s="1"/>
  <c r="AQ62" s="1"/>
  <c r="AI60"/>
  <c r="AO60" s="1"/>
  <c r="AI58"/>
  <c r="AO58" s="1"/>
  <c r="AI56"/>
  <c r="AO56" s="1"/>
  <c r="AI54"/>
  <c r="AO54" s="1"/>
  <c r="AI52"/>
  <c r="AO52" s="1"/>
  <c r="AI50"/>
  <c r="AI48"/>
  <c r="AI46"/>
  <c r="AI44"/>
  <c r="AI42"/>
  <c r="AI40"/>
  <c r="AI38"/>
  <c r="AI36"/>
  <c r="AI34"/>
  <c r="AI32"/>
  <c r="AI30"/>
  <c r="AI28"/>
  <c r="AI26"/>
  <c r="AI24"/>
  <c r="AI22"/>
  <c r="AI20"/>
  <c r="AI18"/>
  <c r="AI16"/>
  <c r="AI14"/>
  <c r="AI12"/>
  <c r="AI10"/>
  <c r="AI8"/>
  <c r="AI6"/>
  <c r="AI4"/>
  <c r="AC114"/>
  <c r="AH114" s="1"/>
  <c r="AN114" s="1"/>
  <c r="AC112"/>
  <c r="AH112" s="1"/>
  <c r="AN112" s="1"/>
  <c r="AC110"/>
  <c r="AH110" s="1"/>
  <c r="AN110" s="1"/>
  <c r="AC108"/>
  <c r="AH108" s="1"/>
  <c r="AN108" s="1"/>
  <c r="AC106"/>
  <c r="AH106" s="1"/>
  <c r="AN106" s="1"/>
  <c r="AC58"/>
  <c r="AH58" s="1"/>
  <c r="AN58" s="1"/>
  <c r="AC26"/>
  <c r="AH26" s="1"/>
  <c r="AC6"/>
  <c r="AH6" s="1"/>
  <c r="AC4"/>
  <c r="AH4" s="1"/>
  <c r="AC139"/>
  <c r="AH139" s="1"/>
  <c r="AC69"/>
  <c r="AH69" s="1"/>
  <c r="AN69" s="1"/>
  <c r="AC29"/>
  <c r="AH29" s="1"/>
  <c r="AC166"/>
  <c r="AH166" s="1"/>
  <c r="AC164"/>
  <c r="AH164" s="1"/>
  <c r="AC162"/>
  <c r="AH162" s="1"/>
  <c r="AC160"/>
  <c r="AH160" s="1"/>
  <c r="AC158"/>
  <c r="AH158" s="1"/>
  <c r="AC156"/>
  <c r="AH156" s="1"/>
  <c r="AC154"/>
  <c r="AH154" s="1"/>
  <c r="AC152"/>
  <c r="AH152" s="1"/>
  <c r="AC150"/>
  <c r="AH150" s="1"/>
  <c r="AC148"/>
  <c r="AH148" s="1"/>
  <c r="AC146"/>
  <c r="AH146" s="1"/>
  <c r="AC144"/>
  <c r="AH144" s="1"/>
  <c r="AC142"/>
  <c r="AH142" s="1"/>
  <c r="AC140"/>
  <c r="AH140" s="1"/>
  <c r="AC138"/>
  <c r="AH138" s="1"/>
  <c r="AC136"/>
  <c r="AH136" s="1"/>
  <c r="AC132"/>
  <c r="AH132" s="1"/>
  <c r="AN132" s="1"/>
  <c r="AC130"/>
  <c r="AH130" s="1"/>
  <c r="AN130" s="1"/>
  <c r="AC128"/>
  <c r="AH128" s="1"/>
  <c r="AN128" s="1"/>
  <c r="AC126"/>
  <c r="AH126" s="1"/>
  <c r="AN126" s="1"/>
  <c r="AP126" s="1"/>
  <c r="AC104"/>
  <c r="AH104" s="1"/>
  <c r="AN104" s="1"/>
  <c r="AC102"/>
  <c r="AH102" s="1"/>
  <c r="AN102" s="1"/>
  <c r="AC100"/>
  <c r="AH100" s="1"/>
  <c r="AN100" s="1"/>
  <c r="AC98"/>
  <c r="AH98" s="1"/>
  <c r="AN98" s="1"/>
  <c r="AC96"/>
  <c r="AH96" s="1"/>
  <c r="AN96" s="1"/>
  <c r="AC94"/>
  <c r="AH94" s="1"/>
  <c r="AN94" s="1"/>
  <c r="AC92"/>
  <c r="AH92" s="1"/>
  <c r="AN92" s="1"/>
  <c r="AC90"/>
  <c r="AH90" s="1"/>
  <c r="AN90" s="1"/>
  <c r="AC88"/>
  <c r="AH88" s="1"/>
  <c r="AN88" s="1"/>
  <c r="AC86"/>
  <c r="AH86" s="1"/>
  <c r="AN86" s="1"/>
  <c r="AC84"/>
  <c r="AH84" s="1"/>
  <c r="AN84" s="1"/>
  <c r="AC82"/>
  <c r="AH82" s="1"/>
  <c r="AN82" s="1"/>
  <c r="AP82" s="1"/>
  <c r="AC80"/>
  <c r="AH80" s="1"/>
  <c r="AN80" s="1"/>
  <c r="AC78"/>
  <c r="AH78" s="1"/>
  <c r="AN78" s="1"/>
  <c r="AC76"/>
  <c r="AH76" s="1"/>
  <c r="AN76" s="1"/>
  <c r="AC74"/>
  <c r="AH74" s="1"/>
  <c r="AN74" s="1"/>
  <c r="AC72"/>
  <c r="AH72" s="1"/>
  <c r="AN72" s="1"/>
  <c r="AC70"/>
  <c r="AH70" s="1"/>
  <c r="AN70" s="1"/>
  <c r="AP70" s="1"/>
  <c r="AC68"/>
  <c r="AH68" s="1"/>
  <c r="AN68" s="1"/>
  <c r="AC66"/>
  <c r="AH66" s="1"/>
  <c r="AN66" s="1"/>
  <c r="AC64"/>
  <c r="AH64" s="1"/>
  <c r="AN64" s="1"/>
  <c r="AP64" s="1"/>
  <c r="AC62"/>
  <c r="AH62" s="1"/>
  <c r="AN62" s="1"/>
  <c r="AP62" s="1"/>
  <c r="AC60"/>
  <c r="AH60" s="1"/>
  <c r="AN60" s="1"/>
  <c r="AC56"/>
  <c r="AH56" s="1"/>
  <c r="AN56" s="1"/>
  <c r="AC54"/>
  <c r="AH54" s="1"/>
  <c r="AN54" s="1"/>
  <c r="AC52"/>
  <c r="AH52" s="1"/>
  <c r="AN52" s="1"/>
  <c r="AC50"/>
  <c r="AH50" s="1"/>
  <c r="AC48"/>
  <c r="AH48" s="1"/>
  <c r="AC46"/>
  <c r="AH46" s="1"/>
  <c r="AC44"/>
  <c r="AH44" s="1"/>
  <c r="AC42"/>
  <c r="AH42" s="1"/>
  <c r="AC40"/>
  <c r="AH40" s="1"/>
  <c r="AC38"/>
  <c r="AH38" s="1"/>
  <c r="AC36"/>
  <c r="AH36" s="1"/>
  <c r="AC34"/>
  <c r="AH34" s="1"/>
  <c r="AC32"/>
  <c r="AH32" s="1"/>
  <c r="AC30"/>
  <c r="AH30" s="1"/>
  <c r="AC24"/>
  <c r="AH24" s="1"/>
  <c r="AC22"/>
  <c r="AH22" s="1"/>
  <c r="AC20"/>
  <c r="AH20" s="1"/>
  <c r="AC18"/>
  <c r="AH18" s="1"/>
  <c r="AC16"/>
  <c r="AH16" s="1"/>
  <c r="AC14"/>
  <c r="AH14" s="1"/>
  <c r="AC12"/>
  <c r="AH12" s="1"/>
  <c r="AC10"/>
  <c r="AH10" s="1"/>
  <c r="AC137"/>
  <c r="AH137" s="1"/>
  <c r="AC135"/>
  <c r="AH135" s="1"/>
  <c r="AN135" s="1"/>
  <c r="AC133"/>
  <c r="AH133" s="1"/>
  <c r="AN133" s="1"/>
  <c r="AC131"/>
  <c r="AH131" s="1"/>
  <c r="AN131" s="1"/>
  <c r="AC129"/>
  <c r="AH129" s="1"/>
  <c r="AN129" s="1"/>
  <c r="AC127"/>
  <c r="AH127" s="1"/>
  <c r="AN127" s="1"/>
  <c r="AP127" s="1"/>
  <c r="AC125"/>
  <c r="AH125" s="1"/>
  <c r="AN125" s="1"/>
  <c r="AP125" s="1"/>
  <c r="AC123"/>
  <c r="AH123" s="1"/>
  <c r="AN123" s="1"/>
  <c r="AP123" s="1"/>
  <c r="AC121"/>
  <c r="AH121" s="1"/>
  <c r="AN121" s="1"/>
  <c r="AC119"/>
  <c r="AH119" s="1"/>
  <c r="AN119" s="1"/>
  <c r="AC117"/>
  <c r="AH117" s="1"/>
  <c r="AN117" s="1"/>
  <c r="AC115"/>
  <c r="AH115" s="1"/>
  <c r="AN115" s="1"/>
  <c r="AC113"/>
  <c r="AH113" s="1"/>
  <c r="AN113" s="1"/>
  <c r="AC111"/>
  <c r="AH111" s="1"/>
  <c r="AN111" s="1"/>
  <c r="AC109"/>
  <c r="AH109" s="1"/>
  <c r="AN109" s="1"/>
  <c r="AC107"/>
  <c r="AH107" s="1"/>
  <c r="AN107" s="1"/>
  <c r="AC105"/>
  <c r="AH105" s="1"/>
  <c r="AN105" s="1"/>
  <c r="AC101"/>
  <c r="AH101" s="1"/>
  <c r="AN101" s="1"/>
  <c r="AC71"/>
  <c r="AH71" s="1"/>
  <c r="AN71" s="1"/>
  <c r="AC57"/>
  <c r="AH57" s="1"/>
  <c r="AN57" s="1"/>
  <c r="AC55"/>
  <c r="AH55" s="1"/>
  <c r="AN55" s="1"/>
  <c r="AP55" s="1"/>
  <c r="AC53"/>
  <c r="AH53" s="1"/>
  <c r="AN53" s="1"/>
  <c r="AC51"/>
  <c r="AH51" s="1"/>
  <c r="AC47"/>
  <c r="AH47" s="1"/>
  <c r="AC31"/>
  <c r="AH31" s="1"/>
  <c r="AC27"/>
  <c r="AH27" s="1"/>
  <c r="AC25"/>
  <c r="AH25" s="1"/>
  <c r="AC23"/>
  <c r="AH23" s="1"/>
  <c r="AC15"/>
  <c r="AH15" s="1"/>
  <c r="AC13"/>
  <c r="AH13" s="1"/>
  <c r="AC11"/>
  <c r="AH11" s="1"/>
  <c r="AC9"/>
  <c r="AH9" s="1"/>
  <c r="AC7"/>
  <c r="AH7" s="1"/>
  <c r="AC5"/>
  <c r="AH5" s="1"/>
  <c r="AY16" i="22" l="1"/>
  <c r="D70" i="18"/>
  <c r="G76" i="14"/>
  <c r="U49"/>
  <c r="J67" s="1"/>
  <c r="AT10" i="22" s="1"/>
  <c r="M49" i="14"/>
  <c r="V49" s="1"/>
  <c r="K67" s="1"/>
  <c r="U50"/>
  <c r="J68" s="1"/>
  <c r="E61" i="18" s="1"/>
  <c r="M50" i="14"/>
  <c r="V50" s="1"/>
  <c r="K68" s="1"/>
  <c r="AT13" i="22"/>
  <c r="H68" i="14"/>
  <c r="AY7" i="22"/>
  <c r="D67" i="18"/>
  <c r="G73" i="14"/>
  <c r="AY13" i="22"/>
  <c r="D69" i="18"/>
  <c r="G75" i="14"/>
  <c r="U51"/>
  <c r="M51"/>
  <c r="V51" s="1"/>
  <c r="E60" i="18"/>
  <c r="H67" i="14"/>
  <c r="AZ10" i="22"/>
  <c r="E68" i="18"/>
  <c r="H74" i="14"/>
  <c r="U52"/>
  <c r="J69" s="1"/>
  <c r="M52"/>
  <c r="V52" s="1"/>
  <c r="K69" s="1"/>
  <c r="AU16" i="22" s="1"/>
  <c r="AT7"/>
  <c r="E59" i="18"/>
  <c r="H66" i="14"/>
  <c r="AP167" i="17"/>
  <c r="C75" i="14" s="1"/>
  <c r="AI3" i="17"/>
  <c r="AQ167"/>
  <c r="AM139"/>
  <c r="AO139"/>
  <c r="AL141"/>
  <c r="AN141"/>
  <c r="AM143"/>
  <c r="AO143"/>
  <c r="AL145"/>
  <c r="AN145"/>
  <c r="AM147"/>
  <c r="AO147"/>
  <c r="AL149"/>
  <c r="AN149"/>
  <c r="AM151"/>
  <c r="AO151"/>
  <c r="AL153"/>
  <c r="AN153"/>
  <c r="AM155"/>
  <c r="AO155"/>
  <c r="AL157"/>
  <c r="AN157"/>
  <c r="AM159"/>
  <c r="AO159"/>
  <c r="AL161"/>
  <c r="AN161"/>
  <c r="AM163"/>
  <c r="AO163"/>
  <c r="AL165"/>
  <c r="AN165"/>
  <c r="AN3"/>
  <c r="AJ3"/>
  <c r="AK3"/>
  <c r="AO3"/>
  <c r="AL143"/>
  <c r="AN143"/>
  <c r="AL147"/>
  <c r="AN147"/>
  <c r="AL151"/>
  <c r="AN151"/>
  <c r="AL155"/>
  <c r="AN155"/>
  <c r="AL159"/>
  <c r="AN159"/>
  <c r="AL163"/>
  <c r="AN163"/>
  <c r="AJ5"/>
  <c r="AN5"/>
  <c r="AJ9"/>
  <c r="AN9"/>
  <c r="AJ13"/>
  <c r="AN13"/>
  <c r="AJ23"/>
  <c r="AN23"/>
  <c r="AJ27"/>
  <c r="AN27"/>
  <c r="AJ47"/>
  <c r="AN47"/>
  <c r="AJ10"/>
  <c r="AN10"/>
  <c r="AJ14"/>
  <c r="AN14"/>
  <c r="AJ18"/>
  <c r="AN18"/>
  <c r="AJ22"/>
  <c r="AN22"/>
  <c r="AJ30"/>
  <c r="AN30"/>
  <c r="AJ34"/>
  <c r="AN34"/>
  <c r="AJ38"/>
  <c r="AN38"/>
  <c r="AJ42"/>
  <c r="AN42"/>
  <c r="AJ46"/>
  <c r="AN46"/>
  <c r="AJ50"/>
  <c r="AN50"/>
  <c r="AL138"/>
  <c r="AN138"/>
  <c r="AL142"/>
  <c r="AN142"/>
  <c r="AL146"/>
  <c r="AN146"/>
  <c r="AL150"/>
  <c r="AN150"/>
  <c r="AL154"/>
  <c r="AN154"/>
  <c r="AL158"/>
  <c r="AN158"/>
  <c r="AL162"/>
  <c r="AN162"/>
  <c r="AL166"/>
  <c r="AN166"/>
  <c r="AJ4"/>
  <c r="AN4"/>
  <c r="AJ26"/>
  <c r="AN26"/>
  <c r="AK6"/>
  <c r="AO6"/>
  <c r="AK10"/>
  <c r="AO10"/>
  <c r="AK14"/>
  <c r="AO14"/>
  <c r="AK18"/>
  <c r="AO18"/>
  <c r="AK22"/>
  <c r="AO22"/>
  <c r="AK26"/>
  <c r="AO26"/>
  <c r="AK30"/>
  <c r="AO30"/>
  <c r="AK34"/>
  <c r="AO34"/>
  <c r="AK38"/>
  <c r="AO38"/>
  <c r="AK42"/>
  <c r="AO42"/>
  <c r="AK46"/>
  <c r="AO46"/>
  <c r="AK50"/>
  <c r="AO50"/>
  <c r="AM138"/>
  <c r="AO138"/>
  <c r="AM142"/>
  <c r="AO142"/>
  <c r="AM146"/>
  <c r="AO146"/>
  <c r="AM150"/>
  <c r="AO150"/>
  <c r="AM154"/>
  <c r="AO154"/>
  <c r="AM158"/>
  <c r="AO158"/>
  <c r="AM162"/>
  <c r="AO162"/>
  <c r="AM166"/>
  <c r="AO166"/>
  <c r="AK7"/>
  <c r="AO7"/>
  <c r="AK11"/>
  <c r="AO11"/>
  <c r="AK15"/>
  <c r="AO15"/>
  <c r="AK19"/>
  <c r="AO19"/>
  <c r="AK23"/>
  <c r="AO23"/>
  <c r="AK27"/>
  <c r="AO27"/>
  <c r="AK31"/>
  <c r="AO31"/>
  <c r="AK35"/>
  <c r="AO35"/>
  <c r="AK39"/>
  <c r="AO39"/>
  <c r="AK43"/>
  <c r="AO43"/>
  <c r="AK47"/>
  <c r="AO47"/>
  <c r="AK51"/>
  <c r="AO51"/>
  <c r="AJ17"/>
  <c r="AN17"/>
  <c r="AJ21"/>
  <c r="AN21"/>
  <c r="AJ35"/>
  <c r="AN35"/>
  <c r="AJ39"/>
  <c r="AN39"/>
  <c r="AJ43"/>
  <c r="AN43"/>
  <c r="AJ49"/>
  <c r="AN49"/>
  <c r="AJ8"/>
  <c r="AN8"/>
  <c r="AJ7"/>
  <c r="AN7"/>
  <c r="AJ11"/>
  <c r="AN11"/>
  <c r="AJ15"/>
  <c r="AN15"/>
  <c r="AJ25"/>
  <c r="AN25"/>
  <c r="AJ31"/>
  <c r="AN31"/>
  <c r="AJ51"/>
  <c r="AN51"/>
  <c r="AL137"/>
  <c r="AN137"/>
  <c r="AJ12"/>
  <c r="AN12"/>
  <c r="AJ16"/>
  <c r="AN16"/>
  <c r="AJ20"/>
  <c r="AN20"/>
  <c r="AJ24"/>
  <c r="AN24"/>
  <c r="AJ32"/>
  <c r="AN32"/>
  <c r="AJ36"/>
  <c r="AN36"/>
  <c r="AJ40"/>
  <c r="AN40"/>
  <c r="AJ44"/>
  <c r="AN44"/>
  <c r="AJ48"/>
  <c r="AN48"/>
  <c r="AL136"/>
  <c r="AN136"/>
  <c r="AL140"/>
  <c r="AN140"/>
  <c r="AL144"/>
  <c r="AN144"/>
  <c r="AL148"/>
  <c r="AN148"/>
  <c r="AL152"/>
  <c r="AN152"/>
  <c r="AL156"/>
  <c r="AN156"/>
  <c r="AL160"/>
  <c r="AN160"/>
  <c r="AL164"/>
  <c r="AN164"/>
  <c r="AJ29"/>
  <c r="AN29"/>
  <c r="AL139"/>
  <c r="AN139"/>
  <c r="AJ6"/>
  <c r="AN6"/>
  <c r="AK4"/>
  <c r="AO4"/>
  <c r="AK8"/>
  <c r="AO8"/>
  <c r="AK12"/>
  <c r="AO12"/>
  <c r="AK16"/>
  <c r="AO16"/>
  <c r="AK20"/>
  <c r="AO20"/>
  <c r="AK24"/>
  <c r="AO24"/>
  <c r="AK28"/>
  <c r="AO28"/>
  <c r="AK32"/>
  <c r="AO32"/>
  <c r="AK36"/>
  <c r="AO36"/>
  <c r="AK40"/>
  <c r="AO40"/>
  <c r="AK44"/>
  <c r="AO44"/>
  <c r="AK48"/>
  <c r="AO48"/>
  <c r="AM136"/>
  <c r="AO136"/>
  <c r="AM140"/>
  <c r="AO140"/>
  <c r="AM144"/>
  <c r="AO144"/>
  <c r="AM148"/>
  <c r="AO148"/>
  <c r="AM152"/>
  <c r="AO152"/>
  <c r="AM156"/>
  <c r="AO156"/>
  <c r="AM160"/>
  <c r="AO160"/>
  <c r="AM164"/>
  <c r="AO164"/>
  <c r="AK5"/>
  <c r="AO5"/>
  <c r="AK9"/>
  <c r="AO9"/>
  <c r="AK13"/>
  <c r="AO13"/>
  <c r="AK17"/>
  <c r="AO17"/>
  <c r="AK21"/>
  <c r="AO21"/>
  <c r="AK25"/>
  <c r="AO25"/>
  <c r="AK29"/>
  <c r="AO29"/>
  <c r="AK33"/>
  <c r="AO33"/>
  <c r="AK37"/>
  <c r="AO37"/>
  <c r="AK41"/>
  <c r="AO41"/>
  <c r="AK45"/>
  <c r="AO45"/>
  <c r="AK49"/>
  <c r="AO49"/>
  <c r="AM137"/>
  <c r="AO137"/>
  <c r="AM141"/>
  <c r="AO141"/>
  <c r="AM145"/>
  <c r="AO145"/>
  <c r="AM149"/>
  <c r="AO149"/>
  <c r="AM153"/>
  <c r="AO153"/>
  <c r="AM157"/>
  <c r="AO157"/>
  <c r="AM161"/>
  <c r="AO161"/>
  <c r="AM165"/>
  <c r="AO165"/>
  <c r="AJ19"/>
  <c r="AN19"/>
  <c r="AJ33"/>
  <c r="AN33"/>
  <c r="AJ37"/>
  <c r="AN37"/>
  <c r="AJ41"/>
  <c r="AN41"/>
  <c r="AJ45"/>
  <c r="AN45"/>
  <c r="AJ28"/>
  <c r="AN28"/>
  <c r="AU7" i="22" l="1"/>
  <c r="F59" i="18"/>
  <c r="E62"/>
  <c r="AT16" i="22"/>
  <c r="AU10"/>
  <c r="F60" i="18"/>
  <c r="AZ7" i="22"/>
  <c r="E67" i="18"/>
  <c r="H73" i="14"/>
  <c r="AZ16" i="22"/>
  <c r="E70" i="18"/>
  <c r="H76" i="14"/>
  <c r="F62" i="18"/>
  <c r="D75" i="14"/>
  <c r="AV13" i="22"/>
  <c r="D65" i="18"/>
  <c r="I75" i="14"/>
  <c r="BA10" i="22"/>
  <c r="F68" i="18"/>
  <c r="AZ13" i="22"/>
  <c r="E69" i="18"/>
  <c r="H75" i="14"/>
  <c r="AU13" i="22"/>
  <c r="F61" i="18"/>
  <c r="AM167" i="17"/>
  <c r="C74" i="14" s="1"/>
  <c r="AL167" i="17"/>
  <c r="C67" i="14" s="1"/>
  <c r="AK167" i="17"/>
  <c r="C73" i="14" s="1"/>
  <c r="AN167" i="17"/>
  <c r="C68" i="14" s="1"/>
  <c r="AO167" i="17"/>
  <c r="AJ167"/>
  <c r="C66" i="14" s="1"/>
  <c r="D68" l="1"/>
  <c r="AP13" i="22"/>
  <c r="D57" i="18"/>
  <c r="L68" i="14"/>
  <c r="AV7" i="22"/>
  <c r="D63" i="18"/>
  <c r="I73" i="14"/>
  <c r="D74"/>
  <c r="AV10" i="22"/>
  <c r="D64" i="18"/>
  <c r="I74" i="14"/>
  <c r="BA7" i="22"/>
  <c r="F67" i="18"/>
  <c r="AP7" i="22"/>
  <c r="D55" i="18"/>
  <c r="L66" i="14"/>
  <c r="D67"/>
  <c r="AP10" i="22"/>
  <c r="D56" i="18"/>
  <c r="L67" i="14"/>
  <c r="BA13" i="22"/>
  <c r="F69" i="18"/>
  <c r="E75" i="14"/>
  <c r="AW13" i="22"/>
  <c r="E65" i="18"/>
  <c r="J75" i="14"/>
  <c r="BA16" i="22"/>
  <c r="F70" i="18"/>
  <c r="C76" i="14"/>
  <c r="D73"/>
  <c r="D66"/>
  <c r="C69"/>
  <c r="D69" l="1"/>
  <c r="AP16" i="22"/>
  <c r="D58" i="18"/>
  <c r="L69" i="14"/>
  <c r="E73"/>
  <c r="AW7" i="22"/>
  <c r="E63" i="18"/>
  <c r="J73" i="14"/>
  <c r="E74"/>
  <c r="AW10" i="22"/>
  <c r="E64" i="18"/>
  <c r="J74" i="14"/>
  <c r="E66"/>
  <c r="AQ7" i="22"/>
  <c r="E55" i="18"/>
  <c r="M66" i="14"/>
  <c r="D76"/>
  <c r="AV16" i="22"/>
  <c r="D66" i="18"/>
  <c r="I76" i="14"/>
  <c r="AX13" i="22"/>
  <c r="F65" i="18"/>
  <c r="K75" i="14"/>
  <c r="E67"/>
  <c r="AQ10" i="22"/>
  <c r="E56" i="18"/>
  <c r="M67" i="14"/>
  <c r="E68"/>
  <c r="AQ13" i="22"/>
  <c r="E57" i="18"/>
  <c r="M68" i="14"/>
  <c r="C83" i="10"/>
  <c r="P5"/>
  <c r="C84" s="1"/>
  <c r="P4"/>
  <c r="P3"/>
  <c r="P7" s="1"/>
  <c r="C85" s="1"/>
  <c r="M76"/>
  <c r="S83"/>
  <c r="V83" s="1"/>
  <c r="S82"/>
  <c r="V82" s="1"/>
  <c r="M75"/>
  <c r="C78"/>
  <c r="F82"/>
  <c r="C76"/>
  <c r="C77"/>
  <c r="C75"/>
  <c r="C71"/>
  <c r="G13"/>
  <c r="G14"/>
  <c r="G15"/>
  <c r="G16"/>
  <c r="G17"/>
  <c r="G18"/>
  <c r="G19"/>
  <c r="G20"/>
  <c r="G21"/>
  <c r="G22"/>
  <c r="G23"/>
  <c r="G24"/>
  <c r="G12"/>
  <c r="E12"/>
  <c r="D32"/>
  <c r="F76" s="1"/>
  <c r="D31"/>
  <c r="F75" s="1"/>
  <c r="C32"/>
  <c r="F83" s="1"/>
  <c r="C31"/>
  <c r="E13"/>
  <c r="E14"/>
  <c r="E15"/>
  <c r="E16"/>
  <c r="E17"/>
  <c r="E18"/>
  <c r="E19"/>
  <c r="E20"/>
  <c r="E21"/>
  <c r="E22"/>
  <c r="E23"/>
  <c r="E24"/>
  <c r="AR13" i="22" l="1"/>
  <c r="F57" i="18"/>
  <c r="N68" i="14"/>
  <c r="AR10" i="22"/>
  <c r="F56" i="18"/>
  <c r="N67" i="14"/>
  <c r="K84" i="10"/>
  <c r="K82"/>
  <c r="H84"/>
  <c r="H82"/>
  <c r="E84"/>
  <c r="E82"/>
  <c r="O44"/>
  <c r="O42"/>
  <c r="O40"/>
  <c r="L43"/>
  <c r="R43" s="1"/>
  <c r="L41"/>
  <c r="I41"/>
  <c r="I43"/>
  <c r="I40"/>
  <c r="R40" s="1"/>
  <c r="N82" s="1"/>
  <c r="K83"/>
  <c r="K85"/>
  <c r="H83"/>
  <c r="H85"/>
  <c r="E83"/>
  <c r="E85"/>
  <c r="O43"/>
  <c r="O41"/>
  <c r="L44"/>
  <c r="L42"/>
  <c r="L40"/>
  <c r="I42"/>
  <c r="R42" s="1"/>
  <c r="N84" s="1"/>
  <c r="I44"/>
  <c r="R44" s="1"/>
  <c r="N85" s="1"/>
  <c r="E76" i="14"/>
  <c r="AW16" i="22"/>
  <c r="E66" i="18"/>
  <c r="J76" i="14"/>
  <c r="AR7" i="22"/>
  <c r="F55" i="18"/>
  <c r="N66" i="14"/>
  <c r="AX10" i="22"/>
  <c r="F64" i="18"/>
  <c r="K74" i="14"/>
  <c r="AX7" i="22"/>
  <c r="F63" i="18"/>
  <c r="K73" i="14"/>
  <c r="E69"/>
  <c r="AQ16" i="22"/>
  <c r="E58" i="18"/>
  <c r="M69" i="14"/>
  <c r="I76" i="10"/>
  <c r="I83"/>
  <c r="C82"/>
  <c r="K76"/>
  <c r="U83"/>
  <c r="J76"/>
  <c r="O76" s="1"/>
  <c r="O75"/>
  <c r="E25"/>
  <c r="G25"/>
  <c r="D33" s="1"/>
  <c r="D34"/>
  <c r="D35" s="1"/>
  <c r="AX16" i="22" l="1"/>
  <c r="F66" i="18"/>
  <c r="K76" i="14"/>
  <c r="E92" i="10"/>
  <c r="AF16" i="22"/>
  <c r="F42" i="18"/>
  <c r="AI16" i="22"/>
  <c r="F46" i="18"/>
  <c r="E89" i="10"/>
  <c r="AF7" i="22"/>
  <c r="F39" i="18"/>
  <c r="AI7" i="22"/>
  <c r="F43" i="18"/>
  <c r="AR16" i="22"/>
  <c r="F58" i="18"/>
  <c r="N69" i="14"/>
  <c r="E90" i="10"/>
  <c r="AF10" i="22"/>
  <c r="F40" i="18"/>
  <c r="AI10" i="22"/>
  <c r="E91" i="10"/>
  <c r="AF13" i="22"/>
  <c r="F41" i="18"/>
  <c r="AI13" i="22"/>
  <c r="F45" i="18"/>
  <c r="R41" i="10"/>
  <c r="N83" s="1"/>
  <c r="Q83" s="1"/>
  <c r="K90" s="1"/>
  <c r="H90" s="1"/>
  <c r="I85"/>
  <c r="F78"/>
  <c r="I84"/>
  <c r="F77"/>
  <c r="C33"/>
  <c r="F84" s="1"/>
  <c r="C34"/>
  <c r="C35" s="1"/>
  <c r="F85" s="1"/>
  <c r="F44" i="18" l="1"/>
  <c r="I77" i="10"/>
  <c r="U82"/>
  <c r="Q82"/>
  <c r="K89" s="1"/>
  <c r="H89" s="1"/>
  <c r="I78"/>
  <c r="D183" i="16"/>
  <c r="B185"/>
  <c r="C185"/>
  <c r="D185" s="1"/>
  <c r="C75"/>
  <c r="D71"/>
  <c r="D69"/>
  <c r="D67"/>
  <c r="K78" i="10" l="1"/>
  <c r="J78"/>
  <c r="Q85"/>
  <c r="K92" s="1"/>
  <c r="H92" s="1"/>
  <c r="K77"/>
  <c r="J77"/>
  <c r="Q84"/>
  <c r="K91" s="1"/>
  <c r="H91" s="1"/>
  <c r="D58" i="16"/>
  <c r="F58" s="1"/>
  <c r="D61"/>
  <c r="F61" s="1"/>
  <c r="H61" s="1"/>
  <c r="J61" s="1"/>
  <c r="L61" s="1"/>
  <c r="N61" s="1"/>
  <c r="P61" s="1"/>
  <c r="D60"/>
  <c r="F60" s="1"/>
  <c r="H60" s="1"/>
  <c r="J60" s="1"/>
  <c r="L60" s="1"/>
  <c r="N60" s="1"/>
  <c r="P60" s="1"/>
  <c r="D59"/>
  <c r="D51"/>
  <c r="C51"/>
  <c r="W36"/>
  <c r="W37"/>
  <c r="W33"/>
  <c r="E35" s="1"/>
  <c r="C288"/>
  <c r="D287" s="1"/>
  <c r="C284"/>
  <c r="H246"/>
  <c r="F246"/>
  <c r="V41"/>
  <c r="V42" s="1"/>
  <c r="W35"/>
  <c r="C36" s="1"/>
  <c r="W34"/>
  <c r="H37" s="1"/>
  <c r="H82" s="1"/>
  <c r="D34"/>
  <c r="H33"/>
  <c r="W32"/>
  <c r="G40" s="1"/>
  <c r="G83" s="1"/>
  <c r="H28"/>
  <c r="G28"/>
  <c r="E28"/>
  <c r="D28"/>
  <c r="C28"/>
  <c r="Q27"/>
  <c r="P27"/>
  <c r="P40" s="1"/>
  <c r="P83" s="1"/>
  <c r="O27"/>
  <c r="N27"/>
  <c r="N40" s="1"/>
  <c r="N83" s="1"/>
  <c r="M27"/>
  <c r="L27"/>
  <c r="L40" s="1"/>
  <c r="L83" s="1"/>
  <c r="K27"/>
  <c r="I27"/>
  <c r="F27"/>
  <c r="Q26"/>
  <c r="Q39" s="1"/>
  <c r="P26"/>
  <c r="O26"/>
  <c r="O39" s="1"/>
  <c r="N26"/>
  <c r="M26"/>
  <c r="M39" s="1"/>
  <c r="L26"/>
  <c r="K26"/>
  <c r="K39" s="1"/>
  <c r="I26"/>
  <c r="F26"/>
  <c r="Q25"/>
  <c r="P25"/>
  <c r="P38" s="1"/>
  <c r="O25"/>
  <c r="O38" s="1"/>
  <c r="N25"/>
  <c r="N38" s="1"/>
  <c r="M25"/>
  <c r="M38" s="1"/>
  <c r="L25"/>
  <c r="L38" s="1"/>
  <c r="K25"/>
  <c r="K38" s="1"/>
  <c r="I25"/>
  <c r="F25"/>
  <c r="Q24"/>
  <c r="Q37" s="1"/>
  <c r="Q82" s="1"/>
  <c r="P24"/>
  <c r="P37" s="1"/>
  <c r="P82" s="1"/>
  <c r="O24"/>
  <c r="O37" s="1"/>
  <c r="O82" s="1"/>
  <c r="N24"/>
  <c r="N37" s="1"/>
  <c r="N82" s="1"/>
  <c r="M24"/>
  <c r="M37" s="1"/>
  <c r="M82" s="1"/>
  <c r="L24"/>
  <c r="L37" s="1"/>
  <c r="L82" s="1"/>
  <c r="K24"/>
  <c r="K37" s="1"/>
  <c r="K82" s="1"/>
  <c r="I24"/>
  <c r="F24"/>
  <c r="Q23"/>
  <c r="Q36" s="1"/>
  <c r="P23"/>
  <c r="O23"/>
  <c r="O36" s="1"/>
  <c r="N23"/>
  <c r="M23"/>
  <c r="M36" s="1"/>
  <c r="L23"/>
  <c r="K23"/>
  <c r="K36" s="1"/>
  <c r="I23"/>
  <c r="F23"/>
  <c r="Q22"/>
  <c r="Q35" s="1"/>
  <c r="P22"/>
  <c r="P35" s="1"/>
  <c r="O22"/>
  <c r="O35" s="1"/>
  <c r="N22"/>
  <c r="N35" s="1"/>
  <c r="M22"/>
  <c r="M35" s="1"/>
  <c r="L22"/>
  <c r="L35" s="1"/>
  <c r="K22"/>
  <c r="K35" s="1"/>
  <c r="I22"/>
  <c r="F22"/>
  <c r="Q21"/>
  <c r="Q34" s="1"/>
  <c r="P21"/>
  <c r="O21"/>
  <c r="O34" s="1"/>
  <c r="N21"/>
  <c r="M21"/>
  <c r="M34" s="1"/>
  <c r="L21"/>
  <c r="K21"/>
  <c r="K34" s="1"/>
  <c r="I21"/>
  <c r="F21"/>
  <c r="Q20"/>
  <c r="Q33" s="1"/>
  <c r="P20"/>
  <c r="O20"/>
  <c r="O33" s="1"/>
  <c r="N20"/>
  <c r="M20"/>
  <c r="M33" s="1"/>
  <c r="L20"/>
  <c r="K20"/>
  <c r="K33" s="1"/>
  <c r="I20"/>
  <c r="C238" s="1"/>
  <c r="F20"/>
  <c r="C237" s="1"/>
  <c r="Q15"/>
  <c r="P15"/>
  <c r="O15"/>
  <c r="N15"/>
  <c r="M15"/>
  <c r="L15"/>
  <c r="K15"/>
  <c r="H15"/>
  <c r="G15"/>
  <c r="E15"/>
  <c r="D15"/>
  <c r="C15"/>
  <c r="R14"/>
  <c r="I14"/>
  <c r="F14"/>
  <c r="R13"/>
  <c r="I13"/>
  <c r="F13"/>
  <c r="R12"/>
  <c r="I12"/>
  <c r="F12"/>
  <c r="R11"/>
  <c r="I11"/>
  <c r="F11"/>
  <c r="R10"/>
  <c r="I10"/>
  <c r="F10"/>
  <c r="R9"/>
  <c r="I9"/>
  <c r="F9"/>
  <c r="R8"/>
  <c r="I8"/>
  <c r="F8"/>
  <c r="R7"/>
  <c r="I7"/>
  <c r="F7"/>
  <c r="J24" l="1"/>
  <c r="D33"/>
  <c r="E40"/>
  <c r="E83" s="1"/>
  <c r="H34"/>
  <c r="D35"/>
  <c r="W38"/>
  <c r="I15"/>
  <c r="J8"/>
  <c r="J10"/>
  <c r="J12"/>
  <c r="J14"/>
  <c r="R15"/>
  <c r="L28"/>
  <c r="N28"/>
  <c r="J21"/>
  <c r="L85"/>
  <c r="N85"/>
  <c r="Q38"/>
  <c r="N39"/>
  <c r="P39"/>
  <c r="D62"/>
  <c r="H58"/>
  <c r="F59"/>
  <c r="H59" s="1"/>
  <c r="J59" s="1"/>
  <c r="L59" s="1"/>
  <c r="N59" s="1"/>
  <c r="P59" s="1"/>
  <c r="C34"/>
  <c r="C39"/>
  <c r="C37"/>
  <c r="C82" s="1"/>
  <c r="C35"/>
  <c r="J23"/>
  <c r="J25"/>
  <c r="C33"/>
  <c r="C40"/>
  <c r="C83" s="1"/>
  <c r="C38"/>
  <c r="P85"/>
  <c r="R26"/>
  <c r="F15"/>
  <c r="J9"/>
  <c r="J13"/>
  <c r="J22"/>
  <c r="D286"/>
  <c r="J246" s="1"/>
  <c r="K40"/>
  <c r="K83" s="1"/>
  <c r="K85" s="1"/>
  <c r="M40"/>
  <c r="M83" s="1"/>
  <c r="M85" s="1"/>
  <c r="O40"/>
  <c r="O83" s="1"/>
  <c r="O85" s="1"/>
  <c r="Q40"/>
  <c r="Q83" s="1"/>
  <c r="Q85" s="1"/>
  <c r="I28"/>
  <c r="J26"/>
  <c r="J11"/>
  <c r="J27"/>
  <c r="P28"/>
  <c r="R38"/>
  <c r="E250"/>
  <c r="G304"/>
  <c r="E248"/>
  <c r="E247"/>
  <c r="E243"/>
  <c r="G303"/>
  <c r="D249"/>
  <c r="D248"/>
  <c r="D247"/>
  <c r="D250"/>
  <c r="D245"/>
  <c r="D244"/>
  <c r="P36"/>
  <c r="N36"/>
  <c r="L36"/>
  <c r="N34"/>
  <c r="P34"/>
  <c r="L34"/>
  <c r="J15"/>
  <c r="R35"/>
  <c r="R37"/>
  <c r="R82" s="1"/>
  <c r="E124" s="1"/>
  <c r="J7"/>
  <c r="R22"/>
  <c r="M28"/>
  <c r="Q28"/>
  <c r="L33"/>
  <c r="E37"/>
  <c r="E82" s="1"/>
  <c r="E85" s="1"/>
  <c r="G37"/>
  <c r="D38"/>
  <c r="H38"/>
  <c r="D39"/>
  <c r="H39"/>
  <c r="L39"/>
  <c r="D40"/>
  <c r="H40"/>
  <c r="J20"/>
  <c r="R20"/>
  <c r="C239" s="1"/>
  <c r="D256" s="1"/>
  <c r="E256" s="1"/>
  <c r="R24"/>
  <c r="K28"/>
  <c r="O28"/>
  <c r="N33"/>
  <c r="P33"/>
  <c r="H35"/>
  <c r="D36"/>
  <c r="H36"/>
  <c r="R21"/>
  <c r="R23"/>
  <c r="R25"/>
  <c r="R27"/>
  <c r="F28"/>
  <c r="J28" s="1"/>
  <c r="E33"/>
  <c r="F33" s="1"/>
  <c r="G33"/>
  <c r="E34"/>
  <c r="F34" s="1"/>
  <c r="G34"/>
  <c r="I34" s="1"/>
  <c r="F35"/>
  <c r="G35"/>
  <c r="E36"/>
  <c r="G36"/>
  <c r="D37"/>
  <c r="E38"/>
  <c r="G38"/>
  <c r="I38" s="1"/>
  <c r="E39"/>
  <c r="G39"/>
  <c r="I39" s="1"/>
  <c r="H41" l="1"/>
  <c r="M41"/>
  <c r="I36"/>
  <c r="I35"/>
  <c r="Q41"/>
  <c r="R40"/>
  <c r="R83" s="1"/>
  <c r="E125" s="1"/>
  <c r="F124"/>
  <c r="D124" s="1"/>
  <c r="R39"/>
  <c r="O41"/>
  <c r="K41"/>
  <c r="F37"/>
  <c r="F82" s="1"/>
  <c r="D100" s="1"/>
  <c r="D108" s="1"/>
  <c r="D82"/>
  <c r="I40"/>
  <c r="I83" s="1"/>
  <c r="E117" s="1"/>
  <c r="C117" s="1"/>
  <c r="H83"/>
  <c r="H85" s="1"/>
  <c r="R85"/>
  <c r="O84"/>
  <c r="R84" s="1"/>
  <c r="F62"/>
  <c r="F40"/>
  <c r="F83" s="1"/>
  <c r="D101" s="1"/>
  <c r="D109" s="1"/>
  <c r="D83"/>
  <c r="I37"/>
  <c r="I82" s="1"/>
  <c r="G82"/>
  <c r="H62"/>
  <c r="J58"/>
  <c r="R34"/>
  <c r="R28"/>
  <c r="D41"/>
  <c r="R36"/>
  <c r="I33"/>
  <c r="J33" s="1"/>
  <c r="G41"/>
  <c r="C41"/>
  <c r="N41"/>
  <c r="F268"/>
  <c r="H268" s="1"/>
  <c r="F267"/>
  <c r="F266"/>
  <c r="F264"/>
  <c r="H264" s="1"/>
  <c r="D260"/>
  <c r="E260" s="1"/>
  <c r="D259"/>
  <c r="E259" s="1"/>
  <c r="D258"/>
  <c r="E258" s="1"/>
  <c r="D257"/>
  <c r="E257" s="1"/>
  <c r="G302"/>
  <c r="F269"/>
  <c r="L267"/>
  <c r="L266" s="1"/>
  <c r="F265"/>
  <c r="F245"/>
  <c r="H245"/>
  <c r="J247"/>
  <c r="H247"/>
  <c r="G243"/>
  <c r="I243"/>
  <c r="K243" s="1"/>
  <c r="J35"/>
  <c r="S35" s="1"/>
  <c r="E41"/>
  <c r="P41"/>
  <c r="L41"/>
  <c r="F244"/>
  <c r="H244"/>
  <c r="J244" s="1"/>
  <c r="I303"/>
  <c r="H303"/>
  <c r="K247"/>
  <c r="I247"/>
  <c r="H304"/>
  <c r="I304"/>
  <c r="J34"/>
  <c r="F36"/>
  <c r="F39"/>
  <c r="J39" s="1"/>
  <c r="F38"/>
  <c r="J38" s="1"/>
  <c r="S38" s="1"/>
  <c r="R33"/>
  <c r="F125" l="1"/>
  <c r="D125" s="1"/>
  <c r="D85"/>
  <c r="C100"/>
  <c r="C108" s="1"/>
  <c r="T6" i="28"/>
  <c r="T7" i="22"/>
  <c r="F23" i="18"/>
  <c r="C101" i="16"/>
  <c r="C109" s="1"/>
  <c r="T8" i="28"/>
  <c r="T10" i="22"/>
  <c r="F24" i="18"/>
  <c r="F116" i="16"/>
  <c r="E116"/>
  <c r="V8" i="28"/>
  <c r="V10" i="22"/>
  <c r="E28" i="18"/>
  <c r="S39" i="16"/>
  <c r="G124"/>
  <c r="Z6" i="28" s="1"/>
  <c r="E127" i="16"/>
  <c r="F127"/>
  <c r="D127" s="1"/>
  <c r="C125"/>
  <c r="Y8" i="28" s="1"/>
  <c r="G125" i="16"/>
  <c r="Z8" i="28" s="1"/>
  <c r="C124" i="16"/>
  <c r="Y6" i="28" s="1"/>
  <c r="J40" i="16"/>
  <c r="E126"/>
  <c r="F126"/>
  <c r="D126" s="1"/>
  <c r="G84"/>
  <c r="I84" s="1"/>
  <c r="E118" s="1"/>
  <c r="C118" s="1"/>
  <c r="G85"/>
  <c r="I85" s="1"/>
  <c r="E119" s="1"/>
  <c r="C119" s="1"/>
  <c r="F117"/>
  <c r="D117" s="1"/>
  <c r="J37"/>
  <c r="F85"/>
  <c r="S40"/>
  <c r="J83"/>
  <c r="S83" s="1"/>
  <c r="D116"/>
  <c r="S34"/>
  <c r="J62"/>
  <c r="L58"/>
  <c r="S33"/>
  <c r="R41"/>
  <c r="F41"/>
  <c r="J245"/>
  <c r="J252" s="1"/>
  <c r="H252"/>
  <c r="H265"/>
  <c r="I265"/>
  <c r="I266"/>
  <c r="H266"/>
  <c r="I268"/>
  <c r="H302"/>
  <c r="H305" s="1"/>
  <c r="I302"/>
  <c r="I305" s="1"/>
  <c r="F271"/>
  <c r="D271"/>
  <c r="I264"/>
  <c r="E271"/>
  <c r="I267"/>
  <c r="H267"/>
  <c r="I41"/>
  <c r="J41" s="1"/>
  <c r="J36"/>
  <c r="S36" s="1"/>
  <c r="F252"/>
  <c r="V12" i="28" l="1"/>
  <c r="V16" i="22"/>
  <c r="E30" i="18"/>
  <c r="S8" i="28"/>
  <c r="S10" i="22"/>
  <c r="E24" i="18"/>
  <c r="S6" i="28"/>
  <c r="S7" i="22"/>
  <c r="E23" i="18"/>
  <c r="V10" i="28"/>
  <c r="V13" i="22"/>
  <c r="E29" i="18"/>
  <c r="G116" i="16"/>
  <c r="C116"/>
  <c r="Y7" i="22"/>
  <c r="E31" i="18"/>
  <c r="Y10" i="22"/>
  <c r="E32" i="18"/>
  <c r="Z7" i="22"/>
  <c r="F31" i="18"/>
  <c r="Z10" i="22"/>
  <c r="F32" i="18"/>
  <c r="G127" i="16"/>
  <c r="Z12" i="28" s="1"/>
  <c r="C127" i="16"/>
  <c r="Y12" i="28" s="1"/>
  <c r="G126" i="16"/>
  <c r="Z10" i="28" s="1"/>
  <c r="C126" i="16"/>
  <c r="Y10" i="28" s="1"/>
  <c r="S37" i="16"/>
  <c r="J82"/>
  <c r="S82" s="1"/>
  <c r="G117"/>
  <c r="F118"/>
  <c r="D118" s="1"/>
  <c r="F119"/>
  <c r="D119" s="1"/>
  <c r="S41"/>
  <c r="L62"/>
  <c r="N58"/>
  <c r="C84" s="1"/>
  <c r="D102" s="1"/>
  <c r="D110" s="1"/>
  <c r="H271"/>
  <c r="G271"/>
  <c r="C102" l="1"/>
  <c r="C110" s="1"/>
  <c r="T10" i="28"/>
  <c r="T13" i="22"/>
  <c r="F25" i="18"/>
  <c r="V6" i="28"/>
  <c r="V7" i="22"/>
  <c r="E27" i="18"/>
  <c r="W8" i="28"/>
  <c r="W10" i="22"/>
  <c r="F28" i="18"/>
  <c r="W6" i="28"/>
  <c r="W7" i="22"/>
  <c r="F27" i="18"/>
  <c r="Y13" i="22"/>
  <c r="E33" i="18"/>
  <c r="Z13" i="22"/>
  <c r="F33" i="18"/>
  <c r="Z16" i="22"/>
  <c r="F34" i="18"/>
  <c r="Y16" i="22"/>
  <c r="E34" i="18"/>
  <c r="C85" i="16"/>
  <c r="D103" s="1"/>
  <c r="D111" s="1"/>
  <c r="G119"/>
  <c r="G118"/>
  <c r="J84"/>
  <c r="S84" s="1"/>
  <c r="N62"/>
  <c r="P58"/>
  <c r="P62" s="1"/>
  <c r="W10" i="28" l="1"/>
  <c r="W13" i="22"/>
  <c r="F29" i="18"/>
  <c r="C103" i="16"/>
  <c r="C111" s="1"/>
  <c r="T12" i="28"/>
  <c r="T16" i="22"/>
  <c r="F26" i="18"/>
  <c r="W12" i="28"/>
  <c r="W16" i="22"/>
  <c r="F30" i="18"/>
  <c r="S10" i="28"/>
  <c r="S13" i="22"/>
  <c r="E25" i="18"/>
  <c r="J85" i="16"/>
  <c r="S85" s="1"/>
  <c r="S12" i="28" l="1"/>
  <c r="S16" i="22"/>
  <c r="E26" i="18"/>
  <c r="D160" i="3"/>
  <c r="E160"/>
  <c r="C160"/>
  <c r="E158"/>
  <c r="E157"/>
  <c r="D158"/>
  <c r="D157"/>
  <c r="C154"/>
  <c r="C152"/>
  <c r="C6"/>
  <c r="D81" i="11" l="1"/>
  <c r="E66"/>
  <c r="F66" s="1"/>
  <c r="E65"/>
  <c r="F65" s="1"/>
  <c r="E64"/>
  <c r="F64" s="1"/>
  <c r="E63"/>
  <c r="F63" s="1"/>
  <c r="D41"/>
  <c r="C25"/>
  <c r="C45" s="1"/>
  <c r="E12"/>
  <c r="F12" s="1"/>
  <c r="G78" l="1"/>
  <c r="G76"/>
  <c r="G77"/>
  <c r="G75"/>
  <c r="C26"/>
  <c r="C46" s="1"/>
  <c r="D51" i="4"/>
  <c r="E51"/>
  <c r="D52"/>
  <c r="E52"/>
  <c r="C52"/>
  <c r="C51"/>
  <c r="D24"/>
  <c r="E24" s="1"/>
  <c r="F10" i="22" l="1"/>
  <c r="D8" i="18"/>
  <c r="F7" i="22"/>
  <c r="D7" i="18"/>
  <c r="H10" i="22"/>
  <c r="F8" i="18"/>
  <c r="H7" i="22"/>
  <c r="F7" i="18"/>
  <c r="G10" i="22"/>
  <c r="E8" i="18"/>
  <c r="G7" i="22"/>
  <c r="E7" i="18"/>
  <c r="K77" i="11"/>
  <c r="J77" s="1"/>
  <c r="I77" s="1"/>
  <c r="K75"/>
  <c r="K78"/>
  <c r="J78" s="1"/>
  <c r="I78" s="1"/>
  <c r="K76"/>
  <c r="J76" s="1"/>
  <c r="I76" s="1"/>
  <c r="F77"/>
  <c r="N78"/>
  <c r="F78"/>
  <c r="F75"/>
  <c r="G79"/>
  <c r="N75"/>
  <c r="N76"/>
  <c r="F76"/>
  <c r="C54" i="4"/>
  <c r="E54"/>
  <c r="D54"/>
  <c r="B5"/>
  <c r="B6"/>
  <c r="B4"/>
  <c r="C4"/>
  <c r="C22" s="1"/>
  <c r="D4"/>
  <c r="D22" s="1"/>
  <c r="E4"/>
  <c r="C5"/>
  <c r="D5"/>
  <c r="E5"/>
  <c r="C6"/>
  <c r="C23" s="1"/>
  <c r="D6"/>
  <c r="D23" s="1"/>
  <c r="E23" s="1"/>
  <c r="E6"/>
  <c r="D3"/>
  <c r="E3"/>
  <c r="C3"/>
  <c r="G151" i="2"/>
  <c r="G142"/>
  <c r="F152"/>
  <c r="F151"/>
  <c r="E101"/>
  <c r="E56"/>
  <c r="D78"/>
  <c r="E78"/>
  <c r="G78" s="1"/>
  <c r="K123"/>
  <c r="K122"/>
  <c r="K121"/>
  <c r="K120"/>
  <c r="K119"/>
  <c r="G152" s="1"/>
  <c r="K118"/>
  <c r="G150" s="1"/>
  <c r="E132"/>
  <c r="F132"/>
  <c r="G132"/>
  <c r="H132"/>
  <c r="I132"/>
  <c r="J132"/>
  <c r="E133"/>
  <c r="F133"/>
  <c r="G133"/>
  <c r="H133"/>
  <c r="I133"/>
  <c r="J133"/>
  <c r="E134"/>
  <c r="F134"/>
  <c r="G134"/>
  <c r="H134"/>
  <c r="I134"/>
  <c r="J134"/>
  <c r="E135"/>
  <c r="F135"/>
  <c r="G135"/>
  <c r="H135"/>
  <c r="I135"/>
  <c r="J135"/>
  <c r="E136"/>
  <c r="F136"/>
  <c r="G136"/>
  <c r="H136"/>
  <c r="I136"/>
  <c r="J136"/>
  <c r="E137"/>
  <c r="F137"/>
  <c r="G137"/>
  <c r="H137"/>
  <c r="I137"/>
  <c r="J137"/>
  <c r="D133"/>
  <c r="K133" s="1"/>
  <c r="D134"/>
  <c r="D135"/>
  <c r="K135" s="1"/>
  <c r="D136"/>
  <c r="D137"/>
  <c r="K137" s="1"/>
  <c r="D132"/>
  <c r="G16" i="22" l="1"/>
  <c r="E10" i="18"/>
  <c r="F16" i="22"/>
  <c r="D10" i="18"/>
  <c r="H16" i="22"/>
  <c r="F10" i="18"/>
  <c r="C25" i="4"/>
  <c r="E76" i="11"/>
  <c r="L76" s="1"/>
  <c r="M76"/>
  <c r="F79"/>
  <c r="E75"/>
  <c r="M77"/>
  <c r="E77"/>
  <c r="L77" s="1"/>
  <c r="E78"/>
  <c r="L78" s="1"/>
  <c r="M78"/>
  <c r="K79"/>
  <c r="J75"/>
  <c r="N79"/>
  <c r="N77"/>
  <c r="E22" i="4"/>
  <c r="D25"/>
  <c r="E25" s="1"/>
  <c r="K132" i="2"/>
  <c r="K136"/>
  <c r="K134"/>
  <c r="G153"/>
  <c r="E77"/>
  <c r="G58"/>
  <c r="G59"/>
  <c r="G60"/>
  <c r="G61"/>
  <c r="G62"/>
  <c r="G63"/>
  <c r="G64"/>
  <c r="G65"/>
  <c r="G66"/>
  <c r="G67"/>
  <c r="G68"/>
  <c r="G69"/>
  <c r="G70"/>
  <c r="G71"/>
  <c r="G72"/>
  <c r="G73"/>
  <c r="G74"/>
  <c r="G75"/>
  <c r="G76"/>
  <c r="G52"/>
  <c r="G53"/>
  <c r="D56"/>
  <c r="D77"/>
  <c r="G77" s="1"/>
  <c r="C126" s="1"/>
  <c r="G101"/>
  <c r="G54"/>
  <c r="E54" s="1"/>
  <c r="E53"/>
  <c r="G55"/>
  <c r="E43"/>
  <c r="D43"/>
  <c r="D45" s="1"/>
  <c r="G36"/>
  <c r="G37"/>
  <c r="G38"/>
  <c r="G39"/>
  <c r="G40"/>
  <c r="G41"/>
  <c r="G42"/>
  <c r="G35"/>
  <c r="C4"/>
  <c r="D150" s="1"/>
  <c r="D4"/>
  <c r="E150" s="1"/>
  <c r="C5"/>
  <c r="D5"/>
  <c r="C6"/>
  <c r="D151" s="1"/>
  <c r="J151" s="1"/>
  <c r="D6"/>
  <c r="E151" s="1"/>
  <c r="D3"/>
  <c r="C3"/>
  <c r="B5"/>
  <c r="B6"/>
  <c r="B4"/>
  <c r="B7" i="5"/>
  <c r="B25" i="8"/>
  <c r="B15"/>
  <c r="B31"/>
  <c r="B30"/>
  <c r="B14"/>
  <c r="B22" s="1"/>
  <c r="B23" s="1"/>
  <c r="B24" s="1"/>
  <c r="B12"/>
  <c r="B10"/>
  <c r="L10" i="22" l="1"/>
  <c r="D16" i="18"/>
  <c r="J150" i="2"/>
  <c r="D153"/>
  <c r="J153" s="1"/>
  <c r="K151"/>
  <c r="F150"/>
  <c r="K150"/>
  <c r="E153"/>
  <c r="K153" s="1"/>
  <c r="I75" i="11"/>
  <c r="I79" s="1"/>
  <c r="J79"/>
  <c r="E79"/>
  <c r="L79" s="1"/>
  <c r="D83" s="1"/>
  <c r="L75"/>
  <c r="M79"/>
  <c r="M75"/>
  <c r="E141" i="2"/>
  <c r="G141"/>
  <c r="I141"/>
  <c r="E142"/>
  <c r="I142"/>
  <c r="E143"/>
  <c r="G143"/>
  <c r="I143"/>
  <c r="E144"/>
  <c r="G144"/>
  <c r="I144"/>
  <c r="E145"/>
  <c r="G145"/>
  <c r="I145"/>
  <c r="E146"/>
  <c r="G146"/>
  <c r="J146"/>
  <c r="D143"/>
  <c r="D145"/>
  <c r="D141"/>
  <c r="H146"/>
  <c r="F141"/>
  <c r="H141"/>
  <c r="J141"/>
  <c r="F142"/>
  <c r="H142"/>
  <c r="J142"/>
  <c r="F143"/>
  <c r="H143"/>
  <c r="J143"/>
  <c r="F144"/>
  <c r="H144"/>
  <c r="J144"/>
  <c r="F145"/>
  <c r="H145"/>
  <c r="J145"/>
  <c r="F146"/>
  <c r="I146"/>
  <c r="D142"/>
  <c r="K142" s="1"/>
  <c r="D144"/>
  <c r="D146"/>
  <c r="K146" s="1"/>
  <c r="G43"/>
  <c r="M16" i="22" l="1"/>
  <c r="E18" i="18"/>
  <c r="L150" i="2"/>
  <c r="F153"/>
  <c r="L153" s="1"/>
  <c r="L16" i="22"/>
  <c r="D18" i="18"/>
  <c r="M7" i="22"/>
  <c r="E15" i="18"/>
  <c r="M10" i="22"/>
  <c r="E16" i="18"/>
  <c r="L7" i="22"/>
  <c r="D15" i="18"/>
  <c r="K144" i="2"/>
  <c r="K141"/>
  <c r="K143"/>
  <c r="I151" s="1"/>
  <c r="K145"/>
  <c r="N16" i="22" l="1"/>
  <c r="F18" i="18"/>
  <c r="N7" i="22"/>
  <c r="F15" i="18"/>
  <c r="I152" i="2"/>
  <c r="I150"/>
  <c r="I153"/>
</calcChain>
</file>

<file path=xl/sharedStrings.xml><?xml version="1.0" encoding="utf-8"?>
<sst xmlns="http://schemas.openxmlformats.org/spreadsheetml/2006/main" count="2720" uniqueCount="1273">
  <si>
    <t>SWEEG Report 772: A REVIEW OF RENEWABLE ENERGY RESOURCE ASSESSMENT AND TARGETS FOR DEVON, ADS Norton, March 2011</t>
  </si>
  <si>
    <t>West Devon Renewable Energy Potential Study 2008 , DARE</t>
  </si>
  <si>
    <t>South Devon Renewable Energy Scoping Study, 2006, DARE</t>
  </si>
  <si>
    <t>T&amp;D Economic Blueprint - Renewable Energy - detail section, final version.pdf</t>
  </si>
  <si>
    <t>Source</t>
  </si>
  <si>
    <t>Notes</t>
  </si>
  <si>
    <t>RAME Energy Study (University of Exeter)</t>
  </si>
  <si>
    <t>Lists many of the sources used for resource assessment i.e. Regen SW Atlas etc.</t>
  </si>
  <si>
    <t>Totnes local area, though discusses DARE report + economic overlaps</t>
  </si>
  <si>
    <t>Devon county assessment though broken by district in places</t>
  </si>
  <si>
    <t>East Devon resource assessment (University of Exeter)</t>
  </si>
  <si>
    <t>One Planet Dartmoor: Dartmoor Low Carbon Strategy Chapter 10: Powering Dartmoor: A Renewable Energy Plan for Dartmoor</t>
  </si>
  <si>
    <t>Dartmoor installations and potential</t>
  </si>
  <si>
    <t>Commerical and Community Scale</t>
  </si>
  <si>
    <t>Domestic Scale</t>
  </si>
  <si>
    <t>Sheet colouring scheme:</t>
  </si>
  <si>
    <t>Explanation of our approach given in Appendix.  This sheet estimates output and economics if schemes in Cornwall</t>
  </si>
  <si>
    <t>The United Downs project, Redruth</t>
  </si>
  <si>
    <t>boreholes</t>
  </si>
  <si>
    <t>km</t>
  </si>
  <si>
    <t>deep</t>
  </si>
  <si>
    <t>MW</t>
  </si>
  <si>
    <t>heat</t>
  </si>
  <si>
    <t>electric</t>
  </si>
  <si>
    <t>plant cost</t>
  </si>
  <si>
    <t>our esitmate of overall efficency</t>
  </si>
  <si>
    <t>overall borehole output</t>
  </si>
  <si>
    <t>our estimate electricity only efficiency</t>
  </si>
  <si>
    <t>electricity only output potential</t>
  </si>
  <si>
    <t>GWh</t>
  </si>
  <si>
    <t>annual electricity</t>
  </si>
  <si>
    <t>Wind comparison</t>
  </si>
  <si>
    <t>per MW</t>
  </si>
  <si>
    <t>assumed capacity factor</t>
  </si>
  <si>
    <t>assumed turbine capacity</t>
  </si>
  <si>
    <t>turbines required</t>
  </si>
  <si>
    <t>wind farm size</t>
  </si>
  <si>
    <t>wind farm cost</t>
  </si>
  <si>
    <t>assumed run time at capacity (based on Eden scheme)</t>
  </si>
  <si>
    <t>per GWh</t>
  </si>
  <si>
    <t>Eden Scheme</t>
  </si>
  <si>
    <t>capacity factor</t>
  </si>
  <si>
    <t>GWh output</t>
  </si>
  <si>
    <t>the size of United Downs Scheme</t>
  </si>
  <si>
    <t>/GWh</t>
  </si>
  <si>
    <t>All taken from DARE South Devon report</t>
  </si>
  <si>
    <t>Tidal Lagoon</t>
  </si>
  <si>
    <t>On River Dart at Sharpham (nr. Totnes)</t>
  </si>
  <si>
    <t>kW</t>
  </si>
  <si>
    <t>MWh</t>
  </si>
  <si>
    <t>capacity</t>
  </si>
  <si>
    <t>derived capacity factor</t>
  </si>
  <si>
    <t>electricity anually</t>
  </si>
  <si>
    <t>No costs or paybacks could be established from DARE report</t>
  </si>
  <si>
    <t>Marine Current Turbines</t>
  </si>
  <si>
    <t>not viable - not enough tidal resource</t>
  </si>
  <si>
    <t>Installed projects and capacity by district and technology, November 2012 Regen Annual survey</t>
  </si>
  <si>
    <t xml:space="preserve">http://regensw.s3.amazonaws.com/as2012_la_data_electricity__d8da742c44c402de.pdf </t>
  </si>
  <si>
    <t xml:space="preserve">http://regensw.s3.amazonaws.com/as2012_la_data_heat__8f63977c13de5193.pdf </t>
  </si>
  <si>
    <t>South Hams</t>
  </si>
  <si>
    <t>Teignbridge</t>
  </si>
  <si>
    <t>West Devon</t>
  </si>
  <si>
    <t>Total Electricity</t>
  </si>
  <si>
    <t>Capacity (MWe)</t>
  </si>
  <si>
    <t>No Projects</t>
  </si>
  <si>
    <t>AD</t>
  </si>
  <si>
    <t>Hydro</t>
  </si>
  <si>
    <t>Landfill Gas</t>
  </si>
  <si>
    <t>Onshore Wind</t>
  </si>
  <si>
    <t>Sewage Gas</t>
  </si>
  <si>
    <t>Solar PV</t>
  </si>
  <si>
    <t>Energy from Waste</t>
  </si>
  <si>
    <t>Total Heat</t>
  </si>
  <si>
    <t>Biomass</t>
  </si>
  <si>
    <t>Heat Pumps</t>
  </si>
  <si>
    <t>Solar Thermal</t>
  </si>
  <si>
    <t>Capacity (MWth)</t>
  </si>
  <si>
    <t>Current Installed capacity (from Regen SW 2012)</t>
  </si>
  <si>
    <t>British Hydropower Association, A Guide to Mini- Hydro Devleopments</t>
  </si>
  <si>
    <t xml:space="preserve">http://www.british-hydro.org/mini-hydro </t>
  </si>
  <si>
    <t>"Micro-hydro systems (&lt;100kW)"</t>
  </si>
  <si>
    <t>"The Capacity factor for most mini-hydro schemes would normally fall within the range 50% to 70% in order to give a satisfactory return on the investment"</t>
  </si>
  <si>
    <t>Costs:</t>
  </si>
  <si>
    <t>Provides no additional information that the EA studies do not already provide i.e. it does not discuss Dartmoor</t>
  </si>
  <si>
    <t>DARE South Devon Report</t>
  </si>
  <si>
    <t>Indicative costs:</t>
  </si>
  <si>
    <t>"A 90kW site on Dartmoor cost £80,000(1997) (less than 
£1,000/kW)"</t>
  </si>
  <si>
    <t>"A 3kW site on Dartmoor has been quoted £40,000 (more than 
£13,000/kW)"</t>
  </si>
  <si>
    <t>Resource potential taken from 1980s ETSU study</t>
  </si>
  <si>
    <t>River</t>
  </si>
  <si>
    <t>Site</t>
  </si>
  <si>
    <t>Dart</t>
  </si>
  <si>
    <t>Avon (Aune)</t>
  </si>
  <si>
    <t>Erme</t>
  </si>
  <si>
    <t>Plym</t>
  </si>
  <si>
    <t>Staverton Mills</t>
  </si>
  <si>
    <t>Town Mills</t>
  </si>
  <si>
    <t>Swallowfields Weir</t>
  </si>
  <si>
    <t>Diptford Manor</t>
  </si>
  <si>
    <t>Ivybridge Aqueduct</t>
  </si>
  <si>
    <t>Lydia Bridge</t>
  </si>
  <si>
    <t>Stowford Mill</t>
  </si>
  <si>
    <t>Cann Woods Weir</t>
  </si>
  <si>
    <t>Derived capacity factor</t>
  </si>
  <si>
    <t>Our additional calculations:</t>
  </si>
  <si>
    <t>Identified as win-win by EA (2010)?</t>
  </si>
  <si>
    <t>N</t>
  </si>
  <si>
    <t xml:space="preserve">https://www.gov.uk/government/uploads/system/uploads/attachment_data/file/47951/754-wag-hydro-report-annex-3.pdf </t>
  </si>
  <si>
    <t>District</t>
  </si>
  <si>
    <t>Dartmoor?</t>
  </si>
  <si>
    <t>SH</t>
  </si>
  <si>
    <t>Approximate Location</t>
  </si>
  <si>
    <t>nr. Dartington</t>
  </si>
  <si>
    <t>nr. Totnes</t>
  </si>
  <si>
    <t>nr. Dipford</t>
  </si>
  <si>
    <t>Ivybridge</t>
  </si>
  <si>
    <t>Y</t>
  </si>
  <si>
    <t>South Brent</t>
  </si>
  <si>
    <t>Av.</t>
  </si>
  <si>
    <t>Cann Wood, on border with Plymouth</t>
  </si>
  <si>
    <t>Fraction of DARE identified hydro potential also identified by EA (2010) as win-win</t>
  </si>
  <si>
    <t xml:space="preserve">West Devon Renewable Energy Potential Study 2008 </t>
  </si>
  <si>
    <t>The resource assessment identifies existing and potential schemes</t>
  </si>
  <si>
    <t>Existing Schemes</t>
  </si>
  <si>
    <t>WD</t>
  </si>
  <si>
    <t>Tavy</t>
  </si>
  <si>
    <t>W.Okement</t>
  </si>
  <si>
    <t>Teign</t>
  </si>
  <si>
    <t>Mary Tavy Power Station</t>
  </si>
  <si>
    <t>Morwellham Power Station</t>
  </si>
  <si>
    <t>Holy Street Manor</t>
  </si>
  <si>
    <t>Note: This has been identified as being 430 kW by SWW. DARE stated 43 kW.  The table here shows SWW, and esimtates GWh based on retaining the same</t>
  </si>
  <si>
    <t>Note: This has been identified as being 640 kW by SWW. DARE stated 64 kW.  The table here shows SWW, and esimtates GWh based on retaining the same. The SWW values make numbers agree with Regen survey too.</t>
  </si>
  <si>
    <t>Morwellham Quay, nr. Gunnislake</t>
  </si>
  <si>
    <t>285+165</t>
  </si>
  <si>
    <t>SW Water statmeent of capacity</t>
  </si>
  <si>
    <t>Utilities and renewable energy A South West Water Perspective David Harpur Ceng Renewable Energy Manager</t>
  </si>
  <si>
    <t>Hydro electric power in Cornwall Alan Burgess Energy Manager South West water</t>
  </si>
  <si>
    <t>From the following two presentations:</t>
  </si>
  <si>
    <t>Existing</t>
  </si>
  <si>
    <t>Location</t>
  </si>
  <si>
    <t>Littlehempston Water treatment Works</t>
  </si>
  <si>
    <t>Staverton, nr.Totnes</t>
  </si>
  <si>
    <t>Mary Tavy</t>
  </si>
  <si>
    <t>Meldon</t>
  </si>
  <si>
    <t>Morwellham</t>
  </si>
  <si>
    <t>nr. Okehampton</t>
  </si>
  <si>
    <t>Mary Tavy, nr. Tavistock</t>
  </si>
  <si>
    <t>Proposed</t>
  </si>
  <si>
    <t>Devon has a total capacity of 6.8 MW - SWW capacity in SW Devon study area is 4.15 MW</t>
  </si>
  <si>
    <t>Roborough</t>
  </si>
  <si>
    <t xml:space="preserve">Roborough, on edge of Plymouth. Proposed new water treatment works (£50 million) </t>
  </si>
  <si>
    <t xml:space="preserve">http://www.thisisplymouth.co.uk/New-50million-water-treatment-plant-built/story-17815036-detail/story.html </t>
  </si>
  <si>
    <t>Potential Schemes</t>
  </si>
  <si>
    <t>SW Water</t>
  </si>
  <si>
    <t>AD Biogas and CHP</t>
  </si>
  <si>
    <t>Kingsbrisdge sewage treatemnt works</t>
  </si>
  <si>
    <t>Totnes sewage treatemtn works</t>
  </si>
  <si>
    <t>nr. Totnes, South Hams</t>
  </si>
  <si>
    <t>Ref</t>
  </si>
  <si>
    <t xml:space="preserve">http://totnesedap.org.uk/book/appendices/appendix-c/totnes-and-district-energy-budget-calculations/ </t>
  </si>
  <si>
    <t>Energy calculation based on Totnes and District Energy Budget Calculations</t>
  </si>
  <si>
    <t>Efficiency</t>
  </si>
  <si>
    <t>EA Hydro Report</t>
  </si>
  <si>
    <t>Documents</t>
  </si>
  <si>
    <t xml:space="preserve">Opportunity and environmental sensitivity mapping for hydropower in England and Wales: Non-technical project report </t>
  </si>
  <si>
    <t xml:space="preserve">Opportunity and environmental sensitivity mapping for hydropower in England and Wales: Technical project report </t>
  </si>
  <si>
    <t>Annex - Wales and Regional Data Part B South West England and South East England</t>
  </si>
  <si>
    <t>0-10 kW</t>
  </si>
  <si>
    <t>10-20 kW</t>
  </si>
  <si>
    <t>20-50 kW</t>
  </si>
  <si>
    <t>50-100 kW</t>
  </si>
  <si>
    <t>100-500 kW</t>
  </si>
  <si>
    <t>500-1500 kW</t>
  </si>
  <si>
    <t>&gt; 1500 kW</t>
  </si>
  <si>
    <t>South Hams not NP</t>
  </si>
  <si>
    <t>South Hams NP</t>
  </si>
  <si>
    <t>West Devon not NP</t>
  </si>
  <si>
    <t>West Devon NP</t>
  </si>
  <si>
    <t>Teignbridge NP</t>
  </si>
  <si>
    <t>Values read from map:</t>
  </si>
  <si>
    <t>(West Devon Tamar)</t>
  </si>
  <si>
    <t>Dartmoor Circle Strategy</t>
  </si>
  <si>
    <t>Takes DARE study for existing installations</t>
  </si>
  <si>
    <t>Newer installations:</t>
  </si>
  <si>
    <t>River Dart Country Park</t>
  </si>
  <si>
    <t>Potential new resource:</t>
  </si>
  <si>
    <t>Takes DARE output</t>
  </si>
  <si>
    <t>sites</t>
  </si>
  <si>
    <t>The DARE Hydropower survey was undertaken in 2004 before tougher Environmental restrictions were in place.  It has been sucerceeded by the 2008 DARE study for West Devon and Dartmoor, and the Environment Agency study in 2010.</t>
  </si>
  <si>
    <t>E.Okement</t>
  </si>
  <si>
    <t>Okement</t>
  </si>
  <si>
    <t>Taw</t>
  </si>
  <si>
    <t>West Dart</t>
  </si>
  <si>
    <t>Meavy</t>
  </si>
  <si>
    <t>Walkham</t>
  </si>
  <si>
    <t>Lyd</t>
  </si>
  <si>
    <t>Fatherford</t>
  </si>
  <si>
    <t>Monkokehampton</t>
  </si>
  <si>
    <t>Belstone Cleave</t>
  </si>
  <si>
    <t>North Tawton</t>
  </si>
  <si>
    <t>Chagford Hill</t>
  </si>
  <si>
    <t>Scorhill</t>
  </si>
  <si>
    <t>Rushford Mill</t>
  </si>
  <si>
    <t>Mill End Hotel</t>
  </si>
  <si>
    <t>Brimpts</t>
  </si>
  <si>
    <t>Cadover Bridge</t>
  </si>
  <si>
    <t>Lopwell Dam</t>
  </si>
  <si>
    <t>Sheepstor Village</t>
  </si>
  <si>
    <t>Merrivale</t>
  </si>
  <si>
    <t>Davey Town</t>
  </si>
  <si>
    <t>Huckworthy Bridge</t>
  </si>
  <si>
    <t>Foxham</t>
  </si>
  <si>
    <t>Berra Tor</t>
  </si>
  <si>
    <t>Note: potetially associated with Cornwall side.</t>
  </si>
  <si>
    <t>Note: DARE study ignored Tamar sites.</t>
  </si>
  <si>
    <t xml:space="preserve">Calculations </t>
  </si>
  <si>
    <t>Capacity factor</t>
  </si>
  <si>
    <t>Estimated from mean of DARE 2008 West Devon study.  Fits within 50-70% guide from British Hydropower Association</t>
  </si>
  <si>
    <t>Assume installed power is midpoint of range</t>
  </si>
  <si>
    <t>Assume over 1500 is a 2000 kW sheme</t>
  </si>
  <si>
    <t>Power (kW)</t>
  </si>
  <si>
    <t>Calcualtion of annual energy production (MWh)</t>
  </si>
  <si>
    <t>Total</t>
  </si>
  <si>
    <t>capacity (kW)annual energy production (MWh)</t>
  </si>
  <si>
    <t>Ignore, as DARE did in 2008 study</t>
  </si>
  <si>
    <t>Summary Table</t>
  </si>
  <si>
    <t>Dartmoor</t>
  </si>
  <si>
    <t>SW Devon Area</t>
  </si>
  <si>
    <t>Capacity (kW)</t>
  </si>
  <si>
    <t>Number</t>
  </si>
  <si>
    <t>Existing + potential</t>
  </si>
  <si>
    <t>Note: DARE 2008 study scoped W Devon and Dartmoor together and stated no hydro in Dartmoor/Teignbridge.</t>
  </si>
  <si>
    <t>Teignbridge District Council Renewable Energy and Sustainable Construction Study</t>
  </si>
  <si>
    <t>Meldon Dam</t>
  </si>
  <si>
    <t>Note: does not sum due to overlapping areas of Dartmoor etc.</t>
  </si>
  <si>
    <t>Energy (GWh)</t>
  </si>
  <si>
    <t>note: capacity factor S Hams taken from W.Devon</t>
  </si>
  <si>
    <t>Potential additional</t>
  </si>
  <si>
    <t xml:space="preserve">Wind Resource Assessment for the South West Following SQW energy Methodology, Wardell Armstrong, July 2010 </t>
  </si>
  <si>
    <t xml:space="preserve">http://regensw.s3.amazonaws.com/wind_resource_methodology_text_only_b71959af94c39e86.pdf  </t>
  </si>
  <si>
    <t>Follows SQWenergy report entitled “Renewable and Low-carbon Energy Capacity
Methodology – Methodology for the English Regions” issued by DECC in January 2010</t>
  </si>
  <si>
    <t>Undertakes assessments for large scale and small scale wind.</t>
  </si>
  <si>
    <t>The method for large scale is more detailed</t>
  </si>
  <si>
    <t>Stage 6.2 of large scale study reomves all Natioanl Parks and AONB</t>
  </si>
  <si>
    <t>Number of 2.5 MW turbines</t>
  </si>
  <si>
    <t>% of Devon</t>
  </si>
  <si>
    <t>East Devon</t>
  </si>
  <si>
    <t>Exeter</t>
  </si>
  <si>
    <t>Mid Devon</t>
  </si>
  <si>
    <t>North Devon</t>
  </si>
  <si>
    <t>Torridge</t>
  </si>
  <si>
    <t>Total Devon</t>
  </si>
  <si>
    <t>Regen SW Survey</t>
  </si>
  <si>
    <t>Dartmoor Circle Low Carbon Strategy</t>
  </si>
  <si>
    <t>Based on the above and the following assumptions, current generation estimated as follows:</t>
  </si>
  <si>
    <t>Assume all Teignbridge turines from Regen survey outside of national park</t>
  </si>
  <si>
    <t>Assume capacity factor 20% - similar to asusmed capacity factor for 225 kW turbine identified in Dartmoor Circle report (South Brent turbine)</t>
  </si>
  <si>
    <t>Capacity (MW)</t>
  </si>
  <si>
    <t>Assume 1 6 kW turbine in Dartmoor generating 12 MWh.  The 20 hypothetical turbines in existence now would potentially result in exceeding the Regen survey</t>
  </si>
  <si>
    <t>Therefore, from the above and assuming no Dartmoor, the resource for large scale wind becomes:</t>
  </si>
  <si>
    <t>Potential large scale</t>
  </si>
  <si>
    <t>The Wardell Armstrong analysis estimated small wind potential</t>
  </si>
  <si>
    <t>It is based on 6 kW turbines</t>
  </si>
  <si>
    <t>Each building is assumed to be able to accomoadate such a turbine - a very unrealistic initial assumption</t>
  </si>
  <si>
    <t>Contraints were added such that reductions in wind speed and terrain designation discounted situations where wind speed drops below 4.5 m/s</t>
  </si>
  <si>
    <t>This resulted in the following:</t>
  </si>
  <si>
    <t>n/a</t>
  </si>
  <si>
    <t>It would be based on number of buildings and would likely be over-represented due to higher wind speeds and % rural parishes</t>
  </si>
  <si>
    <t>Wardell Armstrong reocmmnet adding two further constraints.</t>
  </si>
  <si>
    <t>1. The Socially Acceptable level would minimise the cumulative impact of noise for adjacent buildings. This would be implemented by limiting development to only one turbine within a 50m radius.</t>
  </si>
  <si>
    <t>2. The economically acceptable level would take account of affordability of the turbines and suitability of properties. This would be implemented by excluding all properties which fall within the council tax band A.</t>
  </si>
  <si>
    <t>It was not possible here to implement their recommendations.</t>
  </si>
  <si>
    <t>Estimate of small scale wind based on EST small scale wind study 2008</t>
  </si>
  <si>
    <t>Total resource at all costs of energy</t>
  </si>
  <si>
    <t>TWh</t>
  </si>
  <si>
    <t>of which rural</t>
  </si>
  <si>
    <t>rural</t>
  </si>
  <si>
    <t>urban</t>
  </si>
  <si>
    <t>Small-scale wind energy
Policy insights and practical guidance</t>
  </si>
  <si>
    <t>15 to 20%</t>
  </si>
  <si>
    <t>suburban capacity factor (p.29 tehcnical appendix)</t>
  </si>
  <si>
    <t>rural turbine capacity factor (p.28 technical appendix)</t>
  </si>
  <si>
    <t>2.5, 6, 15 kW</t>
  </si>
  <si>
    <t>pole mounted rural turbine sizes</t>
  </si>
  <si>
    <t>roof mounted suburban turbines</t>
  </si>
  <si>
    <t>1, 1.5, 2.4 kW</t>
  </si>
  <si>
    <t>England</t>
  </si>
  <si>
    <t>UK Population</t>
  </si>
  <si>
    <t>2010 ONS Estimates</t>
  </si>
  <si>
    <t xml:space="preserve">http://www.ons.gov.uk/ons/rel/pop-estimate/population-estimates-for-uk--england-and-wales--scotland-and-northern-ireland/population-estimates-timeseries-1971-to-current-year/index.html </t>
  </si>
  <si>
    <t>Wales</t>
  </si>
  <si>
    <t>Scoland</t>
  </si>
  <si>
    <t>NI</t>
  </si>
  <si>
    <t>England as %</t>
  </si>
  <si>
    <t>Adjust technical p[otential wind based on populatio napportionment - this might overstate English resource as Scotland etc. more rural</t>
  </si>
  <si>
    <t>TWh rural resource</t>
  </si>
  <si>
    <t>TWh urban resource</t>
  </si>
  <si>
    <t>Rural</t>
  </si>
  <si>
    <t>Urban</t>
  </si>
  <si>
    <t>Assumed size (kW)</t>
  </si>
  <si>
    <t>Ashburton</t>
  </si>
  <si>
    <t>Kingsbridge</t>
  </si>
  <si>
    <t>Moretonhamstead</t>
  </si>
  <si>
    <t>Okehampton</t>
  </si>
  <si>
    <t>Totnes</t>
  </si>
  <si>
    <t>Dartmouth</t>
  </si>
  <si>
    <t>Tavistock</t>
  </si>
  <si>
    <t xml:space="preserve">http://www.devon.gov.uk/peoplepopestimates </t>
  </si>
  <si>
    <t>Devon Town Populations - assumed to be urban</t>
  </si>
  <si>
    <t>Devon District Populations (previousy derived)</t>
  </si>
  <si>
    <t>Dartmoor &amp; Teignbridge</t>
  </si>
  <si>
    <t>Buckfastleigh</t>
  </si>
  <si>
    <t>Population</t>
  </si>
  <si>
    <t>ONS Regional Trends 43 2010/11 
Rural and urban areas: comparing 
lives using rural/urban 
classifications</t>
  </si>
  <si>
    <t>from ONS rural/urban publication</t>
  </si>
  <si>
    <t>Total population</t>
  </si>
  <si>
    <t>% with turbine</t>
  </si>
  <si>
    <t>People per household</t>
  </si>
  <si>
    <t>Wardell Armstrong Analysis (see large scale wind)</t>
  </si>
  <si>
    <t>Based on Cornwall sensitivity analysis</t>
  </si>
  <si>
    <t>Capacity</t>
  </si>
  <si>
    <t>area</t>
  </si>
  <si>
    <t>Ha</t>
  </si>
  <si>
    <t>sqm</t>
  </si>
  <si>
    <t>From RegenSW Planning for Solar Parks in the SW of England</t>
  </si>
  <si>
    <t>Assume all 2 MW famrs are within 4.5 kW of a 33 kV substation</t>
  </si>
  <si>
    <t>Assume 5 MW, and are within 1.5km of a 33 kV line</t>
  </si>
  <si>
    <t>Assume no PV farms in designated areas (National Parks, AONB)</t>
  </si>
  <si>
    <t>From Cornwall Council Planning Guidance</t>
  </si>
  <si>
    <t>Devon Devon Landscape Policy Group Advice Note No. 2 Accommodating Wind and Solar PV Developments in Devon’s Landscape 2013</t>
  </si>
  <si>
    <t>Guidance on landscape sensitivity in Section 4.</t>
  </si>
  <si>
    <t>Sensitivity constraints based on:</t>
  </si>
  <si>
    <t>Landform</t>
  </si>
  <si>
    <t>Sense of openness/enclosure</t>
  </si>
  <si>
    <t>Field pattern and scale</t>
  </si>
  <si>
    <t>Landcover</t>
  </si>
  <si>
    <t>Perceptual Qualities</t>
  </si>
  <si>
    <t>Historic Landscape Character</t>
  </si>
  <si>
    <t>Scenic and Special Qualities</t>
  </si>
  <si>
    <t>Devon Landscape Character Assessments</t>
  </si>
  <si>
    <t>Series of LCAs covering Devon</t>
  </si>
  <si>
    <t>The study area comprised two of these LCAs</t>
  </si>
  <si>
    <t>151 South Devon</t>
  </si>
  <si>
    <t>150 Dartmoor</t>
  </si>
  <si>
    <t>Lifton</t>
  </si>
  <si>
    <t>Roadford</t>
  </si>
  <si>
    <t>Abham</t>
  </si>
  <si>
    <t>Modbury</t>
  </si>
  <si>
    <t>Salcombe</t>
  </si>
  <si>
    <t>Stokenham</t>
  </si>
  <si>
    <t>Blackawton</t>
  </si>
  <si>
    <t>Mortenhampstead</t>
  </si>
  <si>
    <t>Whiddon Down</t>
  </si>
  <si>
    <t>Sub-station</t>
  </si>
  <si>
    <t>Relevant sub-stations 33/132 kV at:</t>
  </si>
  <si>
    <t>no</t>
  </si>
  <si>
    <t>yes</t>
  </si>
  <si>
    <t>More than 2km withIn Dartmooror AONB?</t>
  </si>
  <si>
    <t>From this, attributes requried of site:</t>
  </si>
  <si>
    <t>Close to substation or 33 kV line</t>
  </si>
  <si>
    <t>Outside of National Park or AONB</t>
  </si>
  <si>
    <t>Relatively flat (to reduce views onto site)</t>
  </si>
  <si>
    <t>Relatively enclosed i.e. surrounded by hedges or woods</t>
  </si>
  <si>
    <t>Large scale modern regular fields</t>
  </si>
  <si>
    <t>Arable or brownfield</t>
  </si>
  <si>
    <t>Evidence or closeby to human activity e.g. Industrial areas or modern developments</t>
  </si>
  <si>
    <t>Avoidance of Historic landscapetypes such as park/garden, rough ground, ancient woodland, other woodland, marsh, dunes, mud, sand, outcrop/ scree/ cliffs, watermeadows, and orchards</t>
  </si>
  <si>
    <t>From these, a visual inspection was undertaken to investigate potential sites.</t>
  </si>
  <si>
    <t>Assume no more than one PV farm within a field of view to mitigate visual impact issues</t>
  </si>
  <si>
    <t>https://www.google.co.uk/url?sa=t&amp;rct=j&amp;q=&amp;esrc=s&amp;source=web&amp;cd=1&amp;ved=0CEQQFjAA&amp;url=http%3A%2F%2Fwww.cornwall.gov.uk%2Fidoc.ashx%3Fdocid%3D0ae8bad3-f600-4bf6-957b-b70344b9c882%26version%3D-1&amp;ei=CFEiUb6rCYXB0gXKiYGYCg&amp;usg=AFQjCNFbGsztlzn-Pa_puvrGlBt8MJySsA&amp;bvm=bv.42553238,d.d2k</t>
  </si>
  <si>
    <t>http://cornwallsolarfarms.files.wordpress.com/2012/12/img050.jpg</t>
  </si>
  <si>
    <t>list of cornish PV farm planning sites</t>
  </si>
  <si>
    <t>Approach for SW Devon Area:</t>
  </si>
  <si>
    <t>Designation areas measured from Defra Magic interactive map</t>
  </si>
  <si>
    <t xml:space="preserve">http://magic.defra.gov.uk/website/magic/ </t>
  </si>
  <si>
    <t>For the study area, available area (Ha) excluding National Park, AONB and World Heritage Sites measured.</t>
  </si>
  <si>
    <t>Area (Ha)</t>
  </si>
  <si>
    <t>Cornwall</t>
  </si>
  <si>
    <t xml:space="preserve">Technical Paper E2 An Assessment of the Renewable Energy Resource Potential in Cornwall Cornwall Council January 2012 </t>
  </si>
  <si>
    <t>Commercial scale development (from para 159)</t>
  </si>
  <si>
    <t>Av. Size of PV farm</t>
  </si>
  <si>
    <t>Annual generation</t>
  </si>
  <si>
    <t>Total number in Cornwall</t>
  </si>
  <si>
    <t>Calculations based on PV sited in Truro:</t>
  </si>
  <si>
    <t>PVGIS:</t>
  </si>
  <si>
    <t>Output for a 1 kWp system facing due south inclined to 35o</t>
  </si>
  <si>
    <t>kWh</t>
  </si>
  <si>
    <t>Truro</t>
  </si>
  <si>
    <t>Scaling factor</t>
  </si>
  <si>
    <t>Adjusted annual generation per PV farm</t>
  </si>
  <si>
    <t>based on area apportionment Cornwall to local area on assumption similar landscape sensitivities etc.</t>
  </si>
  <si>
    <t>From RegenSW, AEA, Environment Agency Reosurce Assessment</t>
  </si>
  <si>
    <t>Local Authority</t>
  </si>
  <si>
    <t>Forestry</t>
  </si>
  <si>
    <t>Wood Waste (odt)</t>
  </si>
  <si>
    <t>Total wood resource (odt)</t>
  </si>
  <si>
    <t>Agricultural Waste (Tonnes)</t>
  </si>
  <si>
    <t>Organic Waste (Tonnes)</t>
  </si>
  <si>
    <t>Organic Waste total</t>
  </si>
  <si>
    <t>Clean wood waste</t>
  </si>
  <si>
    <t>Treated wood waste</t>
  </si>
  <si>
    <r>
      <t> </t>
    </r>
    <r>
      <rPr>
        <b/>
        <sz val="9"/>
        <color indexed="8"/>
        <rFont val="Arial"/>
        <family val="2"/>
      </rPr>
      <t>(odt)</t>
    </r>
  </si>
  <si>
    <t>Arboriculture*</t>
  </si>
  <si>
    <t>Industry &amp; construction</t>
  </si>
  <si>
    <t>Sub-total clean</t>
  </si>
  <si>
    <t>MSW</t>
  </si>
  <si>
    <t>Demolition</t>
  </si>
  <si>
    <t>Sub-total treated</t>
  </si>
  <si>
    <t>Beef</t>
  </si>
  <si>
    <t>Dairy</t>
  </si>
  <si>
    <t>Pigs</t>
  </si>
  <si>
    <t>Poultry</t>
  </si>
  <si>
    <t xml:space="preserve">Industrial </t>
  </si>
  <si>
    <t>Commercial</t>
  </si>
  <si>
    <t>Agricultural Waste (m3 CH4)</t>
  </si>
  <si>
    <t>Organic Waste (m3 CH4)</t>
  </si>
  <si>
    <t>Conversion factors</t>
  </si>
  <si>
    <t>Feedstock</t>
  </si>
  <si>
    <t>Water content of feedstock (%)[1]</t>
  </si>
  <si>
    <r>
      <t>Converting wet waste to methane (m</t>
    </r>
    <r>
      <rPr>
        <b/>
        <vertAlign val="superscript"/>
        <sz val="11"/>
        <color theme="1"/>
        <rFont val="Calibri"/>
        <family val="2"/>
        <scheme val="minor"/>
      </rPr>
      <t>3</t>
    </r>
    <r>
      <rPr>
        <b/>
        <sz val="11"/>
        <color theme="1"/>
        <rFont val="Calibri"/>
        <family val="2"/>
        <scheme val="minor"/>
      </rPr>
      <t xml:space="preserve"> CH</t>
    </r>
    <r>
      <rPr>
        <b/>
        <vertAlign val="subscript"/>
        <sz val="11"/>
        <color theme="1"/>
        <rFont val="Calibri"/>
        <family val="2"/>
        <scheme val="minor"/>
      </rPr>
      <t>4</t>
    </r>
    <r>
      <rPr>
        <b/>
        <sz val="11"/>
        <color theme="1"/>
        <rFont val="Calibri"/>
        <family val="2"/>
        <scheme val="minor"/>
      </rPr>
      <t>/tonne wet waste)</t>
    </r>
  </si>
  <si>
    <t>Net Calorific Value (NCV) from methane produced in GJ per tonne of wet waste[2]</t>
  </si>
  <si>
    <t>Cattle (non-dairy) slurry</t>
  </si>
  <si>
    <t>Dairy slurry</t>
  </si>
  <si>
    <t>Pig slurry</t>
  </si>
  <si>
    <t>Poultry slurry</t>
  </si>
  <si>
    <t>MSW food waste</t>
  </si>
  <si>
    <t>Industrial food waste</t>
  </si>
  <si>
    <t>Commercial food waste</t>
  </si>
  <si>
    <t>Wood Waste (GWh)</t>
  </si>
  <si>
    <t>Total wood resource (GHw)</t>
  </si>
  <si>
    <t>Agricultural Waste (GWh)</t>
  </si>
  <si>
    <t>Organic Waste (GWh)</t>
  </si>
  <si>
    <t>Conversion Factors</t>
  </si>
  <si>
    <t>Net Calorific Value GJ per ODT (for dry biomass)</t>
  </si>
  <si>
    <t>GJ/ODT</t>
  </si>
  <si>
    <t>GWh/ODT</t>
  </si>
  <si>
    <t>Total (GWh)</t>
  </si>
  <si>
    <t>MSW waste wood</t>
  </si>
  <si>
    <t>Industrial and construction</t>
  </si>
  <si>
    <t>Arboriculture waste wood</t>
  </si>
  <si>
    <t>The energy content of 1m3CH4 is 33.95MJ/m3 (Net Calorific Value)</t>
  </si>
  <si>
    <t>Therefore 1 m3CH4 =</t>
  </si>
  <si>
    <t>Total Feedstocks:</t>
  </si>
  <si>
    <t>Clean wood</t>
  </si>
  <si>
    <t>odt</t>
  </si>
  <si>
    <t>Treated wood</t>
  </si>
  <si>
    <t>Methane</t>
  </si>
  <si>
    <t>m3</t>
  </si>
  <si>
    <t>Scenarios</t>
  </si>
  <si>
    <t>Wood Chips:</t>
  </si>
  <si>
    <t>Fuel requirement (odt)</t>
  </si>
  <si>
    <t>Number of
installations ('clean'
wood)</t>
  </si>
  <si>
    <t>Number of
installations
('treated' wood)</t>
  </si>
  <si>
    <t>Installed power (MW)</t>
  </si>
  <si>
    <t>Annual Energy (GWh) clean</t>
  </si>
  <si>
    <t>Annual Energy (GWh) treated</t>
  </si>
  <si>
    <t>Carbon saved (ktCO2) clean</t>
  </si>
  <si>
    <t>Carbon saved (ktCO2) treated</t>
  </si>
  <si>
    <t>5MW commercial
building heating 33%
load</t>
  </si>
  <si>
    <t>2MW Industrial process
Heating 60% load</t>
  </si>
  <si>
    <t>500kW Commercial
heating 33% load</t>
  </si>
  <si>
    <t>30kW Domestic heating
boiler (pellets)</t>
  </si>
  <si>
    <t>assume 7% load factor (lower limit from AEA RHI report which assumes smaller domestic boilers)</t>
  </si>
  <si>
    <t>2MWe 8MWth CHP
100% load</t>
  </si>
  <si>
    <t>12.9th</t>
  </si>
  <si>
    <t>3.1th</t>
  </si>
  <si>
    <t>300MWe power plant</t>
  </si>
  <si>
    <t>na</t>
  </si>
  <si>
    <t>128 Mwe power plant</t>
  </si>
  <si>
    <t>50 Mwe power plant</t>
  </si>
  <si>
    <t>Average pellet and commercial assuming 50:50 split</t>
  </si>
  <si>
    <t>818 domestic and 34 commercial</t>
  </si>
  <si>
    <t>Methane:</t>
  </si>
  <si>
    <t>Methane requirement
per annum m3</t>
  </si>
  <si>
    <t>Potential Number</t>
  </si>
  <si>
    <t>Annual Energy (GWh)</t>
  </si>
  <si>
    <t>Carbon Saved (ktCO2)</t>
  </si>
  <si>
    <t>Centralised 1MWe electricity
plant</t>
  </si>
  <si>
    <t>Centralised 1MWe CHP plant</t>
  </si>
  <si>
    <t>Small 170kw heat only plant</t>
  </si>
  <si>
    <t>Small 50kw electricity plant</t>
  </si>
  <si>
    <t>Small 50kWe CHP plant</t>
  </si>
  <si>
    <t>AD Plants</t>
  </si>
  <si>
    <t>Technology type and
size</t>
  </si>
  <si>
    <t>Output for export</t>
  </si>
  <si>
    <t>Application</t>
  </si>
  <si>
    <t>Potential number</t>
  </si>
  <si>
    <t>Mix of methane fo scenario</t>
  </si>
  <si>
    <t>60kWth input CHP
@55% load</t>
  </si>
  <si>
    <t>13kWe, 16kWth</t>
  </si>
  <si>
    <t>On farm AD</t>
  </si>
  <si>
    <t>2.39th</t>
  </si>
  <si>
    <t>60kWth input for
electricity@70% load</t>
  </si>
  <si>
    <t>12kWe</t>
  </si>
  <si>
    <t>1.34e</t>
  </si>
  <si>
    <t>60kwth input for heat
@55% load</t>
  </si>
  <si>
    <t>26kWth</t>
  </si>
  <si>
    <t>3.89th</t>
  </si>
  <si>
    <t>6.7 MWth input for
CHP@55% load</t>
  </si>
  <si>
    <t>850kWe, 2MWth</t>
  </si>
  <si>
    <t>CAD- 10km collection
radius</t>
  </si>
  <si>
    <t>2.6th</t>
  </si>
  <si>
    <t>4 MWth input for
Electricity @70% load</t>
  </si>
  <si>
    <t>850kWe</t>
  </si>
  <si>
    <t>1.47e</t>
  </si>
  <si>
    <t>Bio-methane
production 500kW</t>
  </si>
  <si>
    <t>Grid injection
biomethane-10 km
collection radius</t>
  </si>
  <si>
    <t>7.5e</t>
  </si>
  <si>
    <t>??</t>
  </si>
  <si>
    <t>Power (MWth)</t>
  </si>
  <si>
    <t>Power (Mwe)</t>
  </si>
  <si>
    <t>Methane mix scenario</t>
  </si>
  <si>
    <t>Estabslishing a SW Heat Carbon Factor:</t>
  </si>
  <si>
    <t>From Figures 11.2.1 and 11.2.2 in report:</t>
  </si>
  <si>
    <t>Total saving by technology:</t>
  </si>
  <si>
    <t>Assumed type</t>
  </si>
  <si>
    <t>CAD</t>
  </si>
  <si>
    <t>Electricity</t>
  </si>
  <si>
    <t>On farm CHP</t>
  </si>
  <si>
    <t>On farm elec</t>
  </si>
  <si>
    <t>Biomethane</t>
  </si>
  <si>
    <t>Industrial Heat large</t>
  </si>
  <si>
    <t>Heat</t>
  </si>
  <si>
    <t>Industrial Heat small</t>
  </si>
  <si>
    <t>30 kW pellet</t>
  </si>
  <si>
    <t>Waste wood power station</t>
  </si>
  <si>
    <t>Total heat</t>
  </si>
  <si>
    <t>Saving in on gas grid locations</t>
  </si>
  <si>
    <t>Saving in off gas grid locations</t>
  </si>
  <si>
    <t>Electricity Only Scenarios</t>
  </si>
  <si>
    <t>from p.53 of report</t>
  </si>
  <si>
    <t>South West</t>
  </si>
  <si>
    <t>Resource (m3 or odt)</t>
  </si>
  <si>
    <t>Total capacity
(Mwe)</t>
  </si>
  <si>
    <t>Emission saving
CO2 eq saved/m3
CH4</t>
  </si>
  <si>
    <t>Total GHG emission
savings (tonnes
CO2 eqv)</t>
  </si>
  <si>
    <t>Total GHG emission
savings (ktonnes
CO2 eqv)</t>
  </si>
  <si>
    <t>Wet Waste</t>
  </si>
  <si>
    <t>Dry biomass (clean)</t>
  </si>
  <si>
    <t>Dry biomass (treated)</t>
  </si>
  <si>
    <t>Forestry (GWh)</t>
  </si>
  <si>
    <t>Regional potential for sustainable renewable energy: biomass south west – DRAFT, Environment Agency.</t>
  </si>
  <si>
    <t>Broadleaf woodland</t>
  </si>
  <si>
    <t>Conifer woodland</t>
  </si>
  <si>
    <t>from Dartmoor Circle Resource Assessment</t>
  </si>
  <si>
    <t>Additional Assumptions and Values to utilise with above data:</t>
  </si>
  <si>
    <t>Woodland Type</t>
  </si>
  <si>
    <t>Dartmoor area (Ha)</t>
  </si>
  <si>
    <t>South Devon area (Ha)</t>
  </si>
  <si>
    <t>Broadleaf</t>
  </si>
  <si>
    <t>Coniferous</t>
  </si>
  <si>
    <t>Mixed</t>
  </si>
  <si>
    <t>Felled/land for prepared planting</t>
  </si>
  <si>
    <t>Note: These two LCAs are similar in scope to the study area</t>
  </si>
  <si>
    <t>Shrub/young</t>
  </si>
  <si>
    <t>Assume same assumptions as per the Dartmoor Circle resrouce assessment:</t>
  </si>
  <si>
    <t>Area</t>
  </si>
  <si>
    <t>South Devon</t>
  </si>
  <si>
    <t>Type</t>
  </si>
  <si>
    <t>Area (ha)</t>
  </si>
  <si>
    <t>Yield class (m3/ha/yr)</t>
  </si>
  <si>
    <t>Annual increment (m3)</t>
  </si>
  <si>
    <t>Sustinabale harvest</t>
  </si>
  <si>
    <t>m3 to tonnes multiplier</t>
  </si>
  <si>
    <t>tonnes</t>
  </si>
  <si>
    <t>Proportion avalialbe for woodfuel</t>
  </si>
  <si>
    <t>Estimated available harvest for woodfuel use</t>
  </si>
  <si>
    <t>Potential energy from harvest</t>
  </si>
  <si>
    <t>Likely exploited potential</t>
  </si>
  <si>
    <t>Energyl ikely to be achieved (GWh)</t>
  </si>
  <si>
    <t>Assume remaining types are a 50:50 mix of types</t>
  </si>
  <si>
    <t>Energy per green tonne (kWh)</t>
  </si>
  <si>
    <t>Average "woodland" type</t>
  </si>
  <si>
    <t>based on ratio of broadleaf to coniferour from the two LCAs below</t>
  </si>
  <si>
    <t>Dartmoor circle is based on green wood (unlike EA analysis above based on odt forestry)</t>
  </si>
  <si>
    <t>Population proxy values:</t>
  </si>
  <si>
    <t>Dartmoor population</t>
  </si>
  <si>
    <t>Teignbidge population</t>
  </si>
  <si>
    <t>Teignbridge AND Dartmoor</t>
  </si>
  <si>
    <t>w devon AND dartmoor</t>
  </si>
  <si>
    <t>S hams AND dartmoor</t>
  </si>
  <si>
    <t>Assumed no arboriculture or indistrial wood arisings in Dartmoor</t>
  </si>
  <si>
    <t>MSW in Dartmoor area apportioned from the three districts on a population apportionment basis</t>
  </si>
  <si>
    <t>Assume no agriculture waste in Dartmoor as unlikely intensity of farming is condusive to AD etc.</t>
  </si>
  <si>
    <t>Assume no indistrial or commerical organic waste in Dartmoor</t>
  </si>
  <si>
    <t>S hams</t>
  </si>
  <si>
    <t>w devon</t>
  </si>
  <si>
    <t>Approx area Teignbridge AND Dartmoor</t>
  </si>
  <si>
    <t>Teignbridge area</t>
  </si>
  <si>
    <t>from neigbourhood statistics</t>
  </si>
  <si>
    <t>in Dartmoor</t>
  </si>
  <si>
    <t>estimated from measurement on map</t>
  </si>
  <si>
    <t>Dartmoor forestry energy taken from application of Dartomor circle method to revised woodland areas for Dartmoor. 20% "likely exploited potential" not included.</t>
  </si>
  <si>
    <t>Teignbridge element of Dartmoor estimated through scaling total Teignbridge energy potential by ratio of area of Dartmoor in Teignbridge to Total Teignbridge</t>
  </si>
  <si>
    <t>Total Naturally Available Resource</t>
  </si>
  <si>
    <t>Technically Accessible Resource</t>
  </si>
  <si>
    <t>Assume all clean wood (forestry + arboriculture) is used as wood chip or pellet in biomass boilers with 85% efficiency at 20% load factor</t>
  </si>
  <si>
    <t xml:space="preserve">Based on methodology used in RegenSW Refreshing the Renewable Energy Strategy for Bournemouth, Dorset and Poole </t>
  </si>
  <si>
    <t>Clean Wood</t>
  </si>
  <si>
    <t>Treated Wood</t>
  </si>
  <si>
    <t>Electricity(GWh)</t>
  </si>
  <si>
    <t>Heat  (GWh)</t>
  </si>
  <si>
    <t>Wet Biomass</t>
  </si>
  <si>
    <t>Energy conversion assumes methane yields indicated with methane (9.4 kW/ m3) being used in gas CHP engines with an electrical conversion of 20% and a heat to power ratio of 1.2:1. Capacity is derived using a 90% load factor.</t>
  </si>
  <si>
    <t>Electricity (GWh)</t>
  </si>
  <si>
    <t>Rough working below- not directly relevant to SW DEVON!!</t>
  </si>
  <si>
    <t>Biofuel</t>
  </si>
  <si>
    <t>Dartmoor Circle analysis states:</t>
  </si>
  <si>
    <t>DARE reports on energy crops:</t>
  </si>
  <si>
    <t>Analysis undertaken for SRC and Miscanthus.  Stated would need to grow one or the other on a given site.  It is recommended SRC is prioiritied due to higher yields and no requirtements for specialist euipment.</t>
  </si>
  <si>
    <t>DARE also show a comparison between SRC and other renewable energy, namely:</t>
  </si>
  <si>
    <t>From their reports they state the following potential:</t>
  </si>
  <si>
    <t>124 GWh</t>
  </si>
  <si>
    <t>Treated wood assumed all MSW and demonlition, assumed to fuel WID compliant biomass CHP plant.  Energy conversion is assumed at 5.3 MWh per odt with 20% electrical conversion and 2:1 heat to power ratio. Capacity is derived using a 90% load factor.</t>
  </si>
  <si>
    <t>All categories: Accommodation type</t>
  </si>
  <si>
    <t>Unshared dwelling: Total</t>
  </si>
  <si>
    <t>Unshared dwelling: Whole house or bungalow: Total</t>
  </si>
  <si>
    <t>Unshared dwelling: Whole house or bungalow: Detached</t>
  </si>
  <si>
    <t>Unshared dwelling: Whole house or bungalow: Semi-detached</t>
  </si>
  <si>
    <t>Unshared dwelling: Whole house or bungalow: Terraced (including end-terrace)</t>
  </si>
  <si>
    <t>Unshared dwelling: Flat, maisonette or apartment: Total</t>
  </si>
  <si>
    <t>Unshared dwelling: Flat, maisonette or apartment: Purpose-built block of flats or tenement</t>
  </si>
  <si>
    <t>Unshared dwelling: Flat, maisonette or apartment: Part of a converted or shared house (including bed-sits)</t>
  </si>
  <si>
    <t>Unshared dwelling: Flat, maisonette or apartment: In commercial building</t>
  </si>
  <si>
    <t>Unshared dwelling: Caravan or other mobile or temporary structure</t>
  </si>
  <si>
    <t>Shared dwelling</t>
  </si>
  <si>
    <t>Dartmoor AND Teignbridge</t>
  </si>
  <si>
    <t>Number of Households (taken from our analysis of Census 2011 and GIS postcode exercise)</t>
  </si>
  <si>
    <t>Number of Registered Businesses</t>
  </si>
  <si>
    <t>List of relevant MSOAs</t>
  </si>
  <si>
    <t>Teignbridge 003</t>
  </si>
  <si>
    <t>Teignbridge 007</t>
  </si>
  <si>
    <t>Teignbridge 017</t>
  </si>
  <si>
    <t>South Hams 001</t>
  </si>
  <si>
    <t>South Hams 002</t>
  </si>
  <si>
    <t>Teignbridge 001</t>
  </si>
  <si>
    <t>Teignbridge 004</t>
  </si>
  <si>
    <t>West Devon 002</t>
  </si>
  <si>
    <t>West Devon 003</t>
  </si>
  <si>
    <t>West Devon 004</t>
  </si>
  <si>
    <t>West Devon 005</t>
  </si>
  <si>
    <t>West Devon 006</t>
  </si>
  <si>
    <t>West Devon 007</t>
  </si>
  <si>
    <t>% in Dartmoor</t>
  </si>
  <si>
    <t>Number of VAT registerd in whole MSOA</t>
  </si>
  <si>
    <t>Number Dartmoor</t>
  </si>
  <si>
    <t>Dartmoor Total</t>
  </si>
  <si>
    <t>Resource Assessment based on AEA South West Microgeneration Assessment following SQL methodolgoy.</t>
  </si>
  <si>
    <t>Key Assumptions:</t>
  </si>
  <si>
    <t>Parameter</t>
  </si>
  <si>
    <t>Value</t>
  </si>
  <si>
    <t>Units</t>
  </si>
  <si>
    <t>SWH</t>
  </si>
  <si>
    <t>Domestic installations</t>
  </si>
  <si>
    <t>Commercial installations</t>
  </si>
  <si>
    <t>Number in "production" sector</t>
  </si>
  <si>
    <t>Industrial</t>
  </si>
  <si>
    <t>all properties including flats</t>
  </si>
  <si>
    <t>AEA SW Microgeneration Assessment</t>
  </si>
  <si>
    <t>of stock</t>
  </si>
  <si>
    <t xml:space="preserve"> of all hereditaments</t>
  </si>
  <si>
    <t>Domestic capacity</t>
  </si>
  <si>
    <t>Commercial capacity</t>
  </si>
  <si>
    <t>Industrial capacity</t>
  </si>
  <si>
    <t>Industrial Installations</t>
  </si>
  <si>
    <t>New developments</t>
  </si>
  <si>
    <t>of roof space</t>
  </si>
  <si>
    <t>Load factor</t>
  </si>
  <si>
    <t>PV</t>
  </si>
  <si>
    <t>PV output</t>
  </si>
  <si>
    <t>kWh/kWp p.a.</t>
  </si>
  <si>
    <t>From PV GIS Tavistock for optimally oriented PV</t>
  </si>
  <si>
    <t>Domestic</t>
  </si>
  <si>
    <t>from AEA technical report on heat technologies (2010)</t>
  </si>
  <si>
    <t>Regen Survey</t>
  </si>
  <si>
    <t>% of potential</t>
  </si>
  <si>
    <t>kW/install</t>
  </si>
  <si>
    <t>New dwellings to 2026</t>
  </si>
  <si>
    <t>assume 50% of properties at 2 kW</t>
  </si>
  <si>
    <t>Biomass boilers and Heat Pumps (air and ground)</t>
  </si>
  <si>
    <t>Replacing existing heat sources with biomass boilers or heat pumps will result in lower carbon emissions and lower fuel costs (assuming heat pump COP is reasonable in practice)</t>
  </si>
  <si>
    <t>In many cases, it would be a choice of one or the other.</t>
  </si>
  <si>
    <t>Therefore the MAXIMUM potential for each of these two broad technoglogies is greater when considered in isolation compared to as a whole</t>
  </si>
  <si>
    <t>To avoid double counting, we have undertaken the analysis based on a scenario where in some cases we assume biomass boilers, and in other cases we assume heat pumps.</t>
  </si>
  <si>
    <t>Where homes do not currently have a wet distribution system, this would need to be installed as well.</t>
  </si>
  <si>
    <t>Assumptions from AEA Microgeneration in SW for Heat Pumps uptake:</t>
  </si>
  <si>
    <t>all off gas properties</t>
  </si>
  <si>
    <t>of detached and semi-detached</t>
  </si>
  <si>
    <t>of terraced</t>
  </si>
  <si>
    <t>of flats</t>
  </si>
  <si>
    <t>of new domestic properties</t>
  </si>
  <si>
    <t>of all commercial hereditaments</t>
  </si>
  <si>
    <t>LSOA</t>
  </si>
  <si>
    <t>Ordinary Electric Meters</t>
  </si>
  <si>
    <t>E7 Electric Meters</t>
  </si>
  <si>
    <t>E7 %</t>
  </si>
  <si>
    <t>Gas Meters</t>
  </si>
  <si>
    <t>Off Gas Grid Households</t>
  </si>
  <si>
    <t>Off Gas Grid Percent</t>
  </si>
  <si>
    <t>% on gas without a gas meter</t>
  </si>
  <si>
    <t>E01020144</t>
  </si>
  <si>
    <t>South Hams 001A</t>
  </si>
  <si>
    <t>E01020145</t>
  </si>
  <si>
    <t>South Hams 001B</t>
  </si>
  <si>
    <t>E01020146</t>
  </si>
  <si>
    <t>South Hams 001C</t>
  </si>
  <si>
    <t>E01020149</t>
  </si>
  <si>
    <t>South Hams 001D</t>
  </si>
  <si>
    <t>E01020148</t>
  </si>
  <si>
    <t>South Hams 002A</t>
  </si>
  <si>
    <t>E01020157</t>
  </si>
  <si>
    <t>South Hams 002B</t>
  </si>
  <si>
    <t>E01020160</t>
  </si>
  <si>
    <t>South Hams 002C</t>
  </si>
  <si>
    <t>E01020176</t>
  </si>
  <si>
    <t>South Hams 002D</t>
  </si>
  <si>
    <t>E01020177</t>
  </si>
  <si>
    <t>South Hams 002E</t>
  </si>
  <si>
    <t>E01020180</t>
  </si>
  <si>
    <t>South Hams 003A</t>
  </si>
  <si>
    <t>E01020181</t>
  </si>
  <si>
    <t>South Hams 003B</t>
  </si>
  <si>
    <t>E01020182</t>
  </si>
  <si>
    <t>South Hams 003C</t>
  </si>
  <si>
    <t>E01020183</t>
  </si>
  <si>
    <t>South Hams 003D</t>
  </si>
  <si>
    <t>E01020184</t>
  </si>
  <si>
    <t>South Hams 003E</t>
  </si>
  <si>
    <t>E01020153</t>
  </si>
  <si>
    <t>South Hams 004A</t>
  </si>
  <si>
    <t>E01020156</t>
  </si>
  <si>
    <t>South Hams 004B</t>
  </si>
  <si>
    <t>E01020170</t>
  </si>
  <si>
    <t>South Hams 004C</t>
  </si>
  <si>
    <t>E01020188</t>
  </si>
  <si>
    <t>South Hams 004D</t>
  </si>
  <si>
    <t>E01020161</t>
  </si>
  <si>
    <t>South Hams 005A</t>
  </si>
  <si>
    <t>E01020162</t>
  </si>
  <si>
    <t>South Hams 005B</t>
  </si>
  <si>
    <t>E01020163</t>
  </si>
  <si>
    <t>South Hams 005C</t>
  </si>
  <si>
    <t>E01020164</t>
  </si>
  <si>
    <t>South Hams 005D</t>
  </si>
  <si>
    <t>E01020165</t>
  </si>
  <si>
    <t>South Hams 005E</t>
  </si>
  <si>
    <t>E01020166</t>
  </si>
  <si>
    <t>South Hams 005F</t>
  </si>
  <si>
    <t>E01020167</t>
  </si>
  <si>
    <t>South Hams 005G</t>
  </si>
  <si>
    <t>E01020142</t>
  </si>
  <si>
    <t>South Hams 006A</t>
  </si>
  <si>
    <t>E01020143</t>
  </si>
  <si>
    <t>South Hams 006B</t>
  </si>
  <si>
    <t>E01020150</t>
  </si>
  <si>
    <t>South Hams 006C</t>
  </si>
  <si>
    <t>E01020151</t>
  </si>
  <si>
    <t>South Hams 007A</t>
  </si>
  <si>
    <t>E01020152</t>
  </si>
  <si>
    <t>South Hams 007B</t>
  </si>
  <si>
    <t>E01020154</t>
  </si>
  <si>
    <t>South Hams 007C</t>
  </si>
  <si>
    <t>E01020155</t>
  </si>
  <si>
    <t>South Hams 007D</t>
  </si>
  <si>
    <t>E01020147</t>
  </si>
  <si>
    <t>South Hams 008A</t>
  </si>
  <si>
    <t>E01020158</t>
  </si>
  <si>
    <t>South Hams 008B</t>
  </si>
  <si>
    <t>E01020159</t>
  </si>
  <si>
    <t>South Hams 008C</t>
  </si>
  <si>
    <t>E01020190</t>
  </si>
  <si>
    <t>South Hams 008D</t>
  </si>
  <si>
    <t>E01020171</t>
  </si>
  <si>
    <t>South Hams 009A</t>
  </si>
  <si>
    <t>E01020185</t>
  </si>
  <si>
    <t>South Hams 009B</t>
  </si>
  <si>
    <t>E01020186</t>
  </si>
  <si>
    <t>South Hams 009C</t>
  </si>
  <si>
    <t>E01020187</t>
  </si>
  <si>
    <t>South Hams 009D</t>
  </si>
  <si>
    <t>E01020168</t>
  </si>
  <si>
    <t>South Hams 010A</t>
  </si>
  <si>
    <t>E01020169</t>
  </si>
  <si>
    <t>South Hams 010B</t>
  </si>
  <si>
    <t>E01020189</t>
  </si>
  <si>
    <t>South Hams 010C</t>
  </si>
  <si>
    <t>E01020174</t>
  </si>
  <si>
    <t>South Hams 011A</t>
  </si>
  <si>
    <t>E01020175</t>
  </si>
  <si>
    <t>South Hams 011B</t>
  </si>
  <si>
    <t>E01020178</t>
  </si>
  <si>
    <t>South Hams 011C</t>
  </si>
  <si>
    <t>E01020172</t>
  </si>
  <si>
    <t>South Hams 012A</t>
  </si>
  <si>
    <t>E01020173</t>
  </si>
  <si>
    <t>South Hams 012B</t>
  </si>
  <si>
    <t>E01020179</t>
  </si>
  <si>
    <t>South Hams 012C</t>
  </si>
  <si>
    <t>E01020243</t>
  </si>
  <si>
    <t>Teignbridge 001A</t>
  </si>
  <si>
    <t>E01020262</t>
  </si>
  <si>
    <t>Teignbridge 001B</t>
  </si>
  <si>
    <t>E01020263</t>
  </si>
  <si>
    <t>Teignbridge 001C</t>
  </si>
  <si>
    <t>E01020274</t>
  </si>
  <si>
    <t>Teignbridge 001D</t>
  </si>
  <si>
    <t>E01020240</t>
  </si>
  <si>
    <t>Teignbridge 002A</t>
  </si>
  <si>
    <t>E01020241</t>
  </si>
  <si>
    <t>Teignbridge 002B</t>
  </si>
  <si>
    <t>E01020242</t>
  </si>
  <si>
    <t>Teignbridge 002C</t>
  </si>
  <si>
    <t>E01020244</t>
  </si>
  <si>
    <t>Teignbridge 002D</t>
  </si>
  <si>
    <t>E01020245</t>
  </si>
  <si>
    <t>Teignbridge 002E</t>
  </si>
  <si>
    <t>E01020205</t>
  </si>
  <si>
    <t>Teignbridge 003A</t>
  </si>
  <si>
    <t>E01020258</t>
  </si>
  <si>
    <t>Teignbridge 003B</t>
  </si>
  <si>
    <t>E01020259</t>
  </si>
  <si>
    <t>Teignbridge 003C</t>
  </si>
  <si>
    <t>E01020273</t>
  </si>
  <si>
    <t>Teignbridge 003D</t>
  </si>
  <si>
    <t>E01020203</t>
  </si>
  <si>
    <t>Teignbridge 004A</t>
  </si>
  <si>
    <t>E01020206</t>
  </si>
  <si>
    <t>Teignbridge 004B</t>
  </si>
  <si>
    <t>E01020220</t>
  </si>
  <si>
    <t>Teignbridge 004C</t>
  </si>
  <si>
    <t>E01020221</t>
  </si>
  <si>
    <t>Teignbridge 004D</t>
  </si>
  <si>
    <t>E01020222</t>
  </si>
  <si>
    <t>Teignbridge 004E</t>
  </si>
  <si>
    <t>E01020223</t>
  </si>
  <si>
    <t>Teignbridge 004F</t>
  </si>
  <si>
    <t>E01020229</t>
  </si>
  <si>
    <t>Teignbridge 005A</t>
  </si>
  <si>
    <t>E01020230</t>
  </si>
  <si>
    <t>Teignbridge 005B</t>
  </si>
  <si>
    <t>E01020231</t>
  </si>
  <si>
    <t>Teignbridge 005C</t>
  </si>
  <si>
    <t>E01020232</t>
  </si>
  <si>
    <t>Teignbridge 005D</t>
  </si>
  <si>
    <t>E01020228</t>
  </si>
  <si>
    <t>Teignbridge 006A</t>
  </si>
  <si>
    <t>E01020233</t>
  </si>
  <si>
    <t>Teignbridge 006B</t>
  </si>
  <si>
    <t>E01020234</t>
  </si>
  <si>
    <t>Teignbridge 006C</t>
  </si>
  <si>
    <t>E01020235</t>
  </si>
  <si>
    <t>Teignbridge 006D</t>
  </si>
  <si>
    <t>E01020202</t>
  </si>
  <si>
    <t>Teignbridge 007A</t>
  </si>
  <si>
    <t>E01020204</t>
  </si>
  <si>
    <t>Teignbridge 007B</t>
  </si>
  <si>
    <t>E01020236</t>
  </si>
  <si>
    <t>Teignbridge 007C</t>
  </si>
  <si>
    <t>E01020237</t>
  </si>
  <si>
    <t>Teignbridge 007D</t>
  </si>
  <si>
    <t>E01020265</t>
  </si>
  <si>
    <t>Teignbridge 008A</t>
  </si>
  <si>
    <t>E01020266</t>
  </si>
  <si>
    <t>Teignbridge 008B</t>
  </si>
  <si>
    <t>E01020267</t>
  </si>
  <si>
    <t>Teignbridge 008C</t>
  </si>
  <si>
    <t>E01020268</t>
  </si>
  <si>
    <t>Teignbridge 008D</t>
  </si>
  <si>
    <t>E01020270</t>
  </si>
  <si>
    <t>Teignbridge 008E</t>
  </si>
  <si>
    <t>E01020250</t>
  </si>
  <si>
    <t>Teignbridge 009A</t>
  </si>
  <si>
    <t>E01020252</t>
  </si>
  <si>
    <t>Teignbridge 009B</t>
  </si>
  <si>
    <t>E01020253</t>
  </si>
  <si>
    <t>Teignbridge 009C</t>
  </si>
  <si>
    <t>E01020254</t>
  </si>
  <si>
    <t>Teignbridge 009D</t>
  </si>
  <si>
    <t>E01020255</t>
  </si>
  <si>
    <t>Teignbridge 009E</t>
  </si>
  <si>
    <t>E01020257</t>
  </si>
  <si>
    <t>Teignbridge 009F</t>
  </si>
  <si>
    <t>E01020264</t>
  </si>
  <si>
    <t>Teignbridge 010A</t>
  </si>
  <si>
    <t>E01020269</t>
  </si>
  <si>
    <t>Teignbridge 010B</t>
  </si>
  <si>
    <t>E01020271</t>
  </si>
  <si>
    <t>Teignbridge 010C</t>
  </si>
  <si>
    <t>E01020272</t>
  </si>
  <si>
    <t>Teignbridge 010D</t>
  </si>
  <si>
    <t>E01020200</t>
  </si>
  <si>
    <t>Teignbridge 011A</t>
  </si>
  <si>
    <t>E01020201</t>
  </si>
  <si>
    <t>Teignbridge 011B</t>
  </si>
  <si>
    <t>E01020251</t>
  </si>
  <si>
    <t>Teignbridge 011C</t>
  </si>
  <si>
    <t>E01020260</t>
  </si>
  <si>
    <t>Teignbridge 011D</t>
  </si>
  <si>
    <t>E01020261</t>
  </si>
  <si>
    <t>Teignbridge 011E</t>
  </si>
  <si>
    <t>E01020208</t>
  </si>
  <si>
    <t>Teignbridge 012A</t>
  </si>
  <si>
    <t>E01020209</t>
  </si>
  <si>
    <t>Teignbridge 012B</t>
  </si>
  <si>
    <t>E01020210</t>
  </si>
  <si>
    <t>Teignbridge 012C</t>
  </si>
  <si>
    <t>E01020219</t>
  </si>
  <si>
    <t>Teignbridge 012D</t>
  </si>
  <si>
    <t>E01020191</t>
  </si>
  <si>
    <t>Teignbridge 013A</t>
  </si>
  <si>
    <t>E01020194</t>
  </si>
  <si>
    <t>Teignbridge 013B</t>
  </si>
  <si>
    <t>E01020207</t>
  </si>
  <si>
    <t>Teignbridge 013C</t>
  </si>
  <si>
    <t>E01020256</t>
  </si>
  <si>
    <t>Teignbridge 013D</t>
  </si>
  <si>
    <t>E01020211</t>
  </si>
  <si>
    <t>Teignbridge 014A</t>
  </si>
  <si>
    <t>E01020217</t>
  </si>
  <si>
    <t>Teignbridge 014B</t>
  </si>
  <si>
    <t>E01020218</t>
  </si>
  <si>
    <t>Teignbridge 014C</t>
  </si>
  <si>
    <t>E01020224</t>
  </si>
  <si>
    <t>Teignbridge 014D</t>
  </si>
  <si>
    <t>E01020216</t>
  </si>
  <si>
    <t>Teignbridge 015A</t>
  </si>
  <si>
    <t>E01020225</t>
  </si>
  <si>
    <t>Teignbridge 015B</t>
  </si>
  <si>
    <t>E01020226</t>
  </si>
  <si>
    <t>Teignbridge 015C</t>
  </si>
  <si>
    <t>E01020227</t>
  </si>
  <si>
    <t>Teignbridge 015D</t>
  </si>
  <si>
    <t>E01020212</t>
  </si>
  <si>
    <t>Teignbridge 016A</t>
  </si>
  <si>
    <t>E01020213</t>
  </si>
  <si>
    <t>Teignbridge 016B</t>
  </si>
  <si>
    <t>E01020214</t>
  </si>
  <si>
    <t>Teignbridge 016C</t>
  </si>
  <si>
    <t>E01020215</t>
  </si>
  <si>
    <t>Teignbridge 016D</t>
  </si>
  <si>
    <t>E01020195</t>
  </si>
  <si>
    <t>Teignbridge 017A</t>
  </si>
  <si>
    <t>E01020196</t>
  </si>
  <si>
    <t>Teignbridge 017B</t>
  </si>
  <si>
    <t>E01020197</t>
  </si>
  <si>
    <t>Teignbridge 017C</t>
  </si>
  <si>
    <t>E01020198</t>
  </si>
  <si>
    <t>Teignbridge 017D</t>
  </si>
  <si>
    <t>E01020199</t>
  </si>
  <si>
    <t>Teignbridge 017E</t>
  </si>
  <si>
    <t>E01020246</t>
  </si>
  <si>
    <t>Teignbridge 018A</t>
  </si>
  <si>
    <t>E01020247</t>
  </si>
  <si>
    <t>Teignbridge 018B</t>
  </si>
  <si>
    <t>E01020248</t>
  </si>
  <si>
    <t>Teignbridge 018C</t>
  </si>
  <si>
    <t>E01020249</t>
  </si>
  <si>
    <t>Teignbridge 018D</t>
  </si>
  <si>
    <t>E01020192</t>
  </si>
  <si>
    <t>Teignbridge 019A</t>
  </si>
  <si>
    <t>E01020193</t>
  </si>
  <si>
    <t>Teignbridge 019B</t>
  </si>
  <si>
    <t>E01020238</t>
  </si>
  <si>
    <t>Teignbridge 019C</t>
  </si>
  <si>
    <t>E01020239</t>
  </si>
  <si>
    <t>Teignbridge 019D</t>
  </si>
  <si>
    <t>E01020320</t>
  </si>
  <si>
    <t>West Devon 001A</t>
  </si>
  <si>
    <t>E01020321</t>
  </si>
  <si>
    <t>West Devon 001B</t>
  </si>
  <si>
    <t>E01020322</t>
  </si>
  <si>
    <t>West Devon 001C</t>
  </si>
  <si>
    <t>E01020326</t>
  </si>
  <si>
    <t>West Devon 001D</t>
  </si>
  <si>
    <t>E01020327</t>
  </si>
  <si>
    <t>West Devon 002A</t>
  </si>
  <si>
    <t>E01020328</t>
  </si>
  <si>
    <t>West Devon 002B</t>
  </si>
  <si>
    <t>E01020329</t>
  </si>
  <si>
    <t>West Devon 002C</t>
  </si>
  <si>
    <t>E01020330</t>
  </si>
  <si>
    <t>West Devon 002D</t>
  </si>
  <si>
    <t>E01020318</t>
  </si>
  <si>
    <t>West Devon 003A</t>
  </si>
  <si>
    <t>E01020319</t>
  </si>
  <si>
    <t>West Devon 003B</t>
  </si>
  <si>
    <t>E01020323</t>
  </si>
  <si>
    <t>West Devon 003C</t>
  </si>
  <si>
    <t>E01020339</t>
  </si>
  <si>
    <t>West Devon 003D</t>
  </si>
  <si>
    <t>E01020314</t>
  </si>
  <si>
    <t>West Devon 004A</t>
  </si>
  <si>
    <t>E01020325</t>
  </si>
  <si>
    <t>West Devon 004B</t>
  </si>
  <si>
    <t>E01020331</t>
  </si>
  <si>
    <t>West Devon 004C</t>
  </si>
  <si>
    <t>E01020340</t>
  </si>
  <si>
    <t>West Devon 004D</t>
  </si>
  <si>
    <t>E01020332</t>
  </si>
  <si>
    <t>West Devon 005A</t>
  </si>
  <si>
    <t>E01020333</t>
  </si>
  <si>
    <t>West Devon 005B</t>
  </si>
  <si>
    <t>E01020334</t>
  </si>
  <si>
    <t>West Devon 005C</t>
  </si>
  <si>
    <t>E01020335</t>
  </si>
  <si>
    <t>West Devon 005D</t>
  </si>
  <si>
    <t>E01020336</t>
  </si>
  <si>
    <t>West Devon 005E</t>
  </si>
  <si>
    <t>E01020337</t>
  </si>
  <si>
    <t>West Devon 005F</t>
  </si>
  <si>
    <t>E01020338</t>
  </si>
  <si>
    <t>West Devon 005G</t>
  </si>
  <si>
    <t>E01020317</t>
  </si>
  <si>
    <t>West Devon 006A</t>
  </si>
  <si>
    <t>E01020324</t>
  </si>
  <si>
    <t>West Devon 006B</t>
  </si>
  <si>
    <t>E01020341</t>
  </si>
  <si>
    <t>West Devon 006C</t>
  </si>
  <si>
    <t>E01020342</t>
  </si>
  <si>
    <t>West Devon 006D</t>
  </si>
  <si>
    <t>E01020312</t>
  </si>
  <si>
    <t>West Devon 007A</t>
  </si>
  <si>
    <t>E01020313</t>
  </si>
  <si>
    <t>West Devon 007B</t>
  </si>
  <si>
    <t>E01020315</t>
  </si>
  <si>
    <t>West Devon 007C</t>
  </si>
  <si>
    <t>E01020316</t>
  </si>
  <si>
    <t>West Devon 007D</t>
  </si>
  <si>
    <t>The assumptions and order we have undertaken in our analysis here to determine the split of HP to Biomass (caluclations shown in sheet to left):</t>
  </si>
  <si>
    <t>Step 1</t>
  </si>
  <si>
    <t>Step 2</t>
  </si>
  <si>
    <t>Step 3</t>
  </si>
  <si>
    <t>Step 4</t>
  </si>
  <si>
    <t>Step 5</t>
  </si>
  <si>
    <t>Step 6</t>
  </si>
  <si>
    <t>Step 7</t>
  </si>
  <si>
    <t>All flats and shared houses were assumed to have 25% heat pump uptake.  The remainder assumed not suitable</t>
  </si>
  <si>
    <t>Our analysis was based broadly on these assumptions, though with consideration of dissplacing heat pumps with biomass boilers in certain situations</t>
  </si>
  <si>
    <t>Total households in LSOA multiplied by off gas % to establish number of each house type off gas</t>
  </si>
  <si>
    <t>Off-gas detached and semi-detached houses assumed to have biomass</t>
  </si>
  <si>
    <t>Off-gas terraced houses assumed to have heat pumps</t>
  </si>
  <si>
    <t>On-gas terraced houses assumed to have heat pumps</t>
  </si>
  <si>
    <t>On-gas detached and semi-detached assumed to have heat pumps</t>
  </si>
  <si>
    <t>Step 1: Flats and shared houses with heat pumps</t>
  </si>
  <si>
    <t>Step 3: Off gas detached and semi-detached with biomass</t>
  </si>
  <si>
    <t>Step 4: Off gas terraced with heat pumps</t>
  </si>
  <si>
    <t>Step 2: Number off gas detached</t>
  </si>
  <si>
    <t>Step 2: Number off gas semi-detached</t>
  </si>
  <si>
    <t>Step 2: Number off gas terraced</t>
  </si>
  <si>
    <t>On-gas detached and semi-detached assumed to have biomass</t>
  </si>
  <si>
    <t>Step 5: On-gas detached and semi-detached assumed to have biomass</t>
  </si>
  <si>
    <t>Step 6: On-gas detached and semi-detached assumed to have heat pumps</t>
  </si>
  <si>
    <t>Step 7: On-gas terraced assumed to have heat pumps</t>
  </si>
  <si>
    <t>Total Biomass</t>
  </si>
  <si>
    <t>Total Heat Pump</t>
  </si>
  <si>
    <t>Heat Pump</t>
  </si>
  <si>
    <t>Public Sector</t>
  </si>
  <si>
    <t>System size and performance (all taken from AEA Review of technical information on renewable heat technologies URN: 11D/0020 , for DECC January 2011):</t>
  </si>
  <si>
    <t>Biomass:</t>
  </si>
  <si>
    <t>Where a range is given by AEA, the average is taken.</t>
  </si>
  <si>
    <t>Commercial/public small</t>
  </si>
  <si>
    <t>Size</t>
  </si>
  <si>
    <t>Commercial/public large</t>
  </si>
  <si>
    <t>Industrial small</t>
  </si>
  <si>
    <t>Heat Pumps (assume ASHP):</t>
  </si>
  <si>
    <t>Step 8</t>
  </si>
  <si>
    <t>of new homes assumed to have heat pumps</t>
  </si>
  <si>
    <t>Primary Sschool</t>
  </si>
  <si>
    <t>Secondary School</t>
  </si>
  <si>
    <t>Other public building</t>
  </si>
  <si>
    <t>estimate based on other installations e.g. By Solarsense. Assume for all schools</t>
  </si>
  <si>
    <t>e.g. Kevics has an 18 kWp array.  Assume for all schools</t>
  </si>
  <si>
    <t>Estimate.  Assume for all public buildings over 1000m2</t>
  </si>
  <si>
    <t>Step 9</t>
  </si>
  <si>
    <t>Step 10</t>
  </si>
  <si>
    <t>of all secondary schools to have "public large" scale boiler e.g. Kevics is heated by 400 kW chip boiler (50% of needs)</t>
  </si>
  <si>
    <t>Step 11</t>
  </si>
  <si>
    <t>of all commercial hereditaments to have heat pump</t>
  </si>
  <si>
    <t>Step 12</t>
  </si>
  <si>
    <t>of all public sector buildings over 1000m2 to have "public large" scale biomass boiler</t>
  </si>
  <si>
    <t>Step 13</t>
  </si>
  <si>
    <t>Public Buildings (from SW Devon baseline workbook)</t>
  </si>
  <si>
    <t>Schools</t>
  </si>
  <si>
    <t>Primary</t>
  </si>
  <si>
    <t>Secondary</t>
  </si>
  <si>
    <t>Other buildings &gt; 1000m2 ex. Schools</t>
  </si>
  <si>
    <t>Table for PV capacity etc.</t>
  </si>
  <si>
    <t>of all primary schools to have "public small" scale biomass boiler</t>
  </si>
  <si>
    <t>of all industrial sites to have "industrial small" biomass boiler</t>
  </si>
  <si>
    <t>Table for public sector biomass:</t>
  </si>
  <si>
    <t>Primary school</t>
  </si>
  <si>
    <t>Secondary school</t>
  </si>
  <si>
    <t>Public building over 1000m2</t>
  </si>
  <si>
    <t>Note: Energy GWh based on heat output (as opposed to energy input which would be heat output divided by efficiency).</t>
  </si>
  <si>
    <t>PV Farms</t>
  </si>
  <si>
    <t>Large Scale Wind</t>
  </si>
  <si>
    <t>Technology</t>
  </si>
  <si>
    <t>Row Labels</t>
  </si>
  <si>
    <t>Grand Total</t>
  </si>
  <si>
    <t>Sum of Energy (GWh)</t>
  </si>
  <si>
    <t>Geothermal</t>
  </si>
  <si>
    <t>Combined data for use on Pivot:</t>
  </si>
  <si>
    <t>Domestic PV</t>
  </si>
  <si>
    <t>Non-domestic PV</t>
  </si>
  <si>
    <t>Domestic SWH</t>
  </si>
  <si>
    <t>Non-domestic SWH</t>
  </si>
  <si>
    <t>Domestic biomass</t>
  </si>
  <si>
    <t>Non-domestic biomass</t>
  </si>
  <si>
    <t>Domestic Heat Pumps</t>
  </si>
  <si>
    <t>Non-domestic heat pumps</t>
  </si>
  <si>
    <t>Micro Wind</t>
  </si>
  <si>
    <t>Values</t>
  </si>
  <si>
    <t>Sum of Large Scale Wind: Energy (GWh)</t>
  </si>
  <si>
    <t>Sum of Hydro: Energy (GWh)</t>
  </si>
  <si>
    <t>Sum of Geothermal: Energy (GWh)</t>
  </si>
  <si>
    <t>Sum of Clean Wood: Energy (GWh)</t>
  </si>
  <si>
    <t>Sum of Treated Wood: Energy (GWh)</t>
  </si>
  <si>
    <t>Sum of Wet Biomass: Energy (GWh)</t>
  </si>
  <si>
    <t>Sum of Domestic PV: Energy (GWh)</t>
  </si>
  <si>
    <t>Sum of Non-domestic PV: Energy (GWh)</t>
  </si>
  <si>
    <t>Sum of Domestic SWH: Energy (GWh)</t>
  </si>
  <si>
    <t>Sum of Non-domestic SWH: Energy (GWh)</t>
  </si>
  <si>
    <t>Sum of Domestic biomass: Energy (GWh)</t>
  </si>
  <si>
    <t>Sum of Non-domestic biomass: Energy (GWh)</t>
  </si>
  <si>
    <t>Sum of Domestic Heat Pumps: Energy (GWh)</t>
  </si>
  <si>
    <t>Sum of Non-domestic heat pumps: Energy (GWh)</t>
  </si>
  <si>
    <t>Sum of Micro Wind: Energy (GWh)</t>
  </si>
  <si>
    <t>Non-Domestic Demand (GWh)</t>
  </si>
  <si>
    <t>Domestic Demand (GWh)</t>
  </si>
  <si>
    <t>Transport Demand (GWh)</t>
  </si>
  <si>
    <t>Communtiy Scale</t>
  </si>
  <si>
    <t>Not a resource assessment, but undertaken to give context.</t>
  </si>
  <si>
    <t>Assume each of the ten community groups involved in SW Devon project could install a turbine the scale of the South Brent Project...</t>
  </si>
  <si>
    <t>Potential community scale</t>
  </si>
  <si>
    <t xml:space="preserve">Totnes: Transition Town Totnes </t>
  </si>
  <si>
    <t xml:space="preserve">Ivybridge: PL21 </t>
  </si>
  <si>
    <t xml:space="preserve">South Brent: Sustainable South Brent </t>
  </si>
  <si>
    <t xml:space="preserve">Tavistock: Transition Tavistock </t>
  </si>
  <si>
    <t>Okehampton: Devon Heartlands</t>
  </si>
  <si>
    <t>North Tawton: North Tawton Environment Trust</t>
  </si>
  <si>
    <t>Dartmoor (inc. Moretonhampstead, Chagford, Buckfastleigh and Ashburton): Dartmoor Circle</t>
  </si>
  <si>
    <t>Dartmouth: Dartmouth Academy</t>
  </si>
  <si>
    <t>South Hams (inc. Kingsbridge): South Devon Coastal Renewable Energy Network</t>
  </si>
  <si>
    <t>Teign Valley: Greener Teign</t>
  </si>
  <si>
    <t>sh</t>
  </si>
  <si>
    <t>sh + dm</t>
  </si>
  <si>
    <t>wd</t>
  </si>
  <si>
    <t>dm (tg)</t>
  </si>
  <si>
    <t>i.e. 225 kW Vestas V27 turbine, say 400 MWh/year i.e. about 20% load factor</t>
  </si>
  <si>
    <t>Current Demand</t>
  </si>
  <si>
    <t>2022 Demand Govt. Policy</t>
  </si>
  <si>
    <t>Potential Supply</t>
  </si>
  <si>
    <t>Medium Scale Wind</t>
  </si>
  <si>
    <t>Sum of Medium Scale Wind: Energy (GWh)</t>
  </si>
  <si>
    <t>Non-Domestic</t>
  </si>
  <si>
    <t>Sum of PV Farms: Energy (GWh)</t>
  </si>
  <si>
    <t>Energy Demand</t>
  </si>
  <si>
    <t>Non-Domestic Basline (GWh)</t>
  </si>
  <si>
    <t>Domestic Baseline (GWh)</t>
  </si>
  <si>
    <t>Transport Baseline (GWh)</t>
  </si>
  <si>
    <t>Non-Domestic Government Policy (GWh)</t>
  </si>
  <si>
    <t>Domestic Government Policy (GWh)</t>
  </si>
  <si>
    <t>Transport Government Policy (GWh)</t>
  </si>
  <si>
    <t>Non-Domestic Addional Reduction (GWh)</t>
  </si>
  <si>
    <t>Domestic Government Addional Reduction (GWh)</t>
  </si>
  <si>
    <t>Transport Government Addional Reduction (GWh)</t>
  </si>
  <si>
    <t>Baseline Energy</t>
  </si>
  <si>
    <t>Cavity Wall Insulation</t>
  </si>
  <si>
    <t>Solid Wall Insulation</t>
  </si>
  <si>
    <t>Virgin Loft Insulation</t>
  </si>
  <si>
    <t>Top-up Loft Insulation</t>
  </si>
  <si>
    <t>Single to Double Glazing</t>
  </si>
  <si>
    <t>Double to Triple Glazing</t>
  </si>
  <si>
    <t>Current to Improved Draught proofing</t>
  </si>
  <si>
    <t>Improved to Advanced Draught proofing</t>
  </si>
  <si>
    <t>MVHR</t>
  </si>
  <si>
    <t>Insulation to tanks and Primary Circuits</t>
  </si>
  <si>
    <t>Lighting Replacements</t>
  </si>
  <si>
    <t>Appliances: Fridges and Freezers</t>
  </si>
  <si>
    <t>Appliances: Dishwashers</t>
  </si>
  <si>
    <t>Appliances: Laundry</t>
  </si>
  <si>
    <t>Appliances: Cooking</t>
  </si>
  <si>
    <t>Appliances: Audio-Visual</t>
  </si>
  <si>
    <t>Appliances: Computers</t>
  </si>
  <si>
    <t>Hot Water Measures</t>
  </si>
  <si>
    <t>Turning Down Thermostat 1oC</t>
  </si>
  <si>
    <t>SW Devon</t>
  </si>
  <si>
    <t>Domestic Total Potential</t>
  </si>
  <si>
    <t>Location: "summary" sheet from "building opportunities" workbook</t>
  </si>
  <si>
    <t>National Projections</t>
  </si>
  <si>
    <t>Additional Energy Management</t>
  </si>
  <si>
    <t>Location: "non-domestic summary" sheet from "SW Devon baseline" workbook</t>
  </si>
  <si>
    <t>Vehicle Efficiency</t>
  </si>
  <si>
    <t>Smarter Choices</t>
  </si>
  <si>
    <t>Eco-driving</t>
  </si>
  <si>
    <t>Car sharing</t>
  </si>
  <si>
    <t>Electric Vehicles</t>
  </si>
  <si>
    <t>Home working</t>
  </si>
  <si>
    <t>Transport National and Additional Potential</t>
  </si>
  <si>
    <t>Non-Domestic National and Additional Potential</t>
  </si>
  <si>
    <t>Domestic National Potential</t>
  </si>
  <si>
    <t>Location: "transport DCC" sheet from "SW Devon baseline" workbook</t>
  </si>
  <si>
    <t>Location: "govt policy SW Devon" sheet from "SW Devon baseline" workbook</t>
  </si>
  <si>
    <t>Residential total energy</t>
  </si>
  <si>
    <t>Policy</t>
  </si>
  <si>
    <t>Summary Table from above</t>
  </si>
  <si>
    <t>Sum of Non-Domestic Basline (GWh)</t>
  </si>
  <si>
    <t>Sum of Domestic Baseline (GWh)</t>
  </si>
  <si>
    <t>Sum of Transport Baseline (GWh)</t>
  </si>
  <si>
    <t>Sum of Non-Domestic Government Policy (GWh)</t>
  </si>
  <si>
    <t>Sum of Domestic Government Policy (GWh)</t>
  </si>
  <si>
    <t>Sum of Transport Government Policy (GWh)</t>
  </si>
  <si>
    <t>Sum of Non-Domestic Addional Reduction (GWh)</t>
  </si>
  <si>
    <t>Sum of Domestic Government Addional Reduction (GWh)</t>
  </si>
  <si>
    <t>Sum of Transport Government Addional Reduction (GWh)</t>
  </si>
  <si>
    <t>Additional Hedge Yield Estimate</t>
  </si>
  <si>
    <t>Based on very rough apportionment from work of Rob Wolton through Cordiale project.</t>
  </si>
  <si>
    <t>Overriding assumptions:</t>
  </si>
  <si>
    <t>The total length of hedges in Devon is 53,000 kilometres (Rob feels this may be an underestimate).</t>
  </si>
  <si>
    <t>Of these 50% could be ‘farmed’ for woodfuel – the other 50% being excluded for biodiversity reasons … and this 50% set aside could also include the inaccessible hedges etc.</t>
  </si>
  <si>
    <t>Rob feels that the hedges are likely to be more or less evenly distributed across the county – except perhaps for the upland areas – and an estimate could be made based on land area.</t>
  </si>
  <si>
    <t>Land Areas:</t>
  </si>
  <si>
    <t>Teignbridge in Dartmoor</t>
  </si>
  <si>
    <t>area of "greenspace" from Neighbourhood statistics, 2005 data</t>
  </si>
  <si>
    <t>sq.km</t>
  </si>
  <si>
    <t>total area - wikipedia</t>
  </si>
  <si>
    <t>based on sum of GIS 1 x 1 km NAEI</t>
  </si>
  <si>
    <t>Devon Total</t>
  </si>
  <si>
    <t>Length of hedges in study area:</t>
  </si>
  <si>
    <t>Total length of Devon hedges</t>
  </si>
  <si>
    <t>Proportion which could be harvested</t>
  </si>
  <si>
    <t>Available Resource (km)</t>
  </si>
  <si>
    <t>kWh/annum</t>
  </si>
  <si>
    <t>Energy to heat a farm house</t>
  </si>
  <si>
    <t>p.22 Sustainable Agriculture – Field Trial on Woodfuel, report 3</t>
  </si>
  <si>
    <t>Length of hedge required to heat farmhouse</t>
  </si>
  <si>
    <t>m, over a 15 year rotation</t>
  </si>
  <si>
    <t>p.23 Sustainable Agriculture – Field Trial on Woodfuel, report 3</t>
  </si>
  <si>
    <t>Assumed effective yield</t>
  </si>
  <si>
    <t>kWh/m</t>
  </si>
  <si>
    <t>Note: this varies widely, depending on composition of hedge</t>
  </si>
  <si>
    <t>Boiler efficiency</t>
  </si>
  <si>
    <t>Hedge Resource</t>
  </si>
  <si>
    <t>Clean Wood (from above)</t>
  </si>
  <si>
    <t>Table adding "clean wood" resource plus hedge resource from analysis below based loosely on Cordiale project</t>
  </si>
  <si>
    <t>SW Total</t>
  </si>
  <si>
    <t>Energy Crops</t>
  </si>
  <si>
    <t>From Crops for Energy: http://www.crops4energy.co.uk/why-we-need-energy-crops-sw</t>
  </si>
  <si>
    <t>of agricultural land would provide...</t>
  </si>
  <si>
    <t>TWh of heat</t>
  </si>
  <si>
    <t>Assuming this is area weighted pro-rata to SW Devon based on "greenspace" and on assumption that agricultrual land and conposition is proportional:</t>
  </si>
  <si>
    <t>Non-Organic Waste</t>
  </si>
  <si>
    <t>The following quick analysis is to estimate renewbale neergy potential from EfW of residual MSW and Commercial and Industrial Waste:</t>
  </si>
  <si>
    <t>Assumes 60% foor waste separated and used within AD processes</t>
  </si>
  <si>
    <t>Assumes waste wood has already been accounted for (see above)</t>
  </si>
  <si>
    <t>Based on University of Exeter SWEEG Report 808 "THE POTENTIAL ROLE OF ENERGY RECOVERY FROM WASTE IN THE GENERATION OF RENEWABLE ENERGY IN DEVON", ADS Norton, March 2012</t>
  </si>
  <si>
    <t>From this, key indicators for Devon are:</t>
  </si>
  <si>
    <t>Total residual waste</t>
  </si>
  <si>
    <t>t/year</t>
  </si>
  <si>
    <t>Thermal treatment</t>
  </si>
  <si>
    <t>MWh/t</t>
  </si>
  <si>
    <t>Total renewbale energy yield</t>
  </si>
  <si>
    <t>GWh/year</t>
  </si>
  <si>
    <t>Assumed load factor</t>
  </si>
  <si>
    <t>Installed equivalent size</t>
  </si>
  <si>
    <t>Assume Devon waste can be apportioned to study area on a per capital basis</t>
  </si>
  <si>
    <t>Devon</t>
  </si>
  <si>
    <t>Residual Waste</t>
  </si>
  <si>
    <t>Sum of Residual Waste: Energy (GWh)</t>
  </si>
  <si>
    <t>Sum of Non-Domestic Demand (GWh)</t>
  </si>
  <si>
    <t>Sum of Domestic Demand (GWh)</t>
  </si>
  <si>
    <t>Sum of Transport Demand (GWh)</t>
  </si>
</sst>
</file>

<file path=xl/styles.xml><?xml version="1.0" encoding="utf-8"?>
<styleSheet xmlns="http://schemas.openxmlformats.org/spreadsheetml/2006/main">
  <numFmts count="4">
    <numFmt numFmtId="6" formatCode="&quot;£&quot;#,##0;[Red]\-&quot;£&quot;#,##0"/>
    <numFmt numFmtId="8" formatCode="&quot;£&quot;#,##0.00;[Red]\-&quot;£&quot;#,##0.00"/>
    <numFmt numFmtId="164" formatCode="0.0"/>
    <numFmt numFmtId="165" formatCode="0.0%"/>
  </numFmts>
  <fonts count="20">
    <font>
      <sz val="11"/>
      <color theme="1"/>
      <name val="Calibri"/>
      <family val="2"/>
      <scheme val="minor"/>
    </font>
    <font>
      <b/>
      <sz val="11"/>
      <color theme="0"/>
      <name val="Calibri"/>
      <family val="2"/>
      <scheme val="minor"/>
    </font>
    <font>
      <b/>
      <sz val="11"/>
      <color theme="1"/>
      <name val="Calibri"/>
      <family val="2"/>
      <scheme val="minor"/>
    </font>
    <font>
      <sz val="11"/>
      <color theme="1"/>
      <name val="Calibri"/>
      <family val="2"/>
      <scheme val="minor"/>
    </font>
    <font>
      <u/>
      <sz val="11"/>
      <color theme="1"/>
      <name val="Calibri"/>
      <family val="2"/>
      <scheme val="minor"/>
    </font>
    <font>
      <u/>
      <sz val="11"/>
      <color theme="10"/>
      <name val="Calibri"/>
      <family val="2"/>
    </font>
    <font>
      <b/>
      <i/>
      <sz val="11"/>
      <color theme="1"/>
      <name val="Calibri"/>
      <family val="2"/>
      <scheme val="minor"/>
    </font>
    <font>
      <b/>
      <sz val="10"/>
      <color rgb="FF000000"/>
      <name val="Calibri"/>
      <family val="2"/>
      <scheme val="minor"/>
    </font>
    <font>
      <b/>
      <sz val="11"/>
      <color rgb="FF000000"/>
      <name val="Calibri"/>
      <family val="2"/>
      <scheme val="minor"/>
    </font>
    <font>
      <sz val="11"/>
      <color rgb="FF000000"/>
      <name val="Calibri"/>
      <family val="2"/>
      <scheme val="minor"/>
    </font>
    <font>
      <b/>
      <u/>
      <sz val="11"/>
      <color theme="1"/>
      <name val="Calibri"/>
      <family val="2"/>
      <scheme val="minor"/>
    </font>
    <font>
      <b/>
      <sz val="9"/>
      <color indexed="8"/>
      <name val="Arial"/>
      <family val="2"/>
    </font>
    <font>
      <sz val="9"/>
      <color indexed="8"/>
      <name val="Arial"/>
      <family val="2"/>
    </font>
    <font>
      <b/>
      <vertAlign val="superscript"/>
      <sz val="11"/>
      <color theme="1"/>
      <name val="Calibri"/>
      <family val="2"/>
      <scheme val="minor"/>
    </font>
    <font>
      <b/>
      <vertAlign val="subscript"/>
      <sz val="11"/>
      <color theme="1"/>
      <name val="Calibri"/>
      <family val="2"/>
      <scheme val="minor"/>
    </font>
    <font>
      <i/>
      <sz val="11"/>
      <color theme="1"/>
      <name val="Calibri"/>
      <family val="2"/>
      <scheme val="minor"/>
    </font>
    <font>
      <b/>
      <sz val="9"/>
      <color theme="1"/>
      <name val="Arial"/>
      <family val="2"/>
    </font>
    <font>
      <b/>
      <sz val="11"/>
      <color rgb="FFFF0000"/>
      <name val="Calibri"/>
      <family val="2"/>
      <scheme val="minor"/>
    </font>
    <font>
      <b/>
      <sz val="16"/>
      <color theme="1"/>
      <name val="Calibri"/>
      <family val="2"/>
      <scheme val="minor"/>
    </font>
    <font>
      <sz val="10"/>
      <color theme="1"/>
      <name val="Arial"/>
      <family val="2"/>
    </font>
  </fonts>
  <fills count="5">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indexed="9"/>
        <bgColor indexed="64"/>
      </patternFill>
    </fill>
  </fills>
  <borders count="23">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3" fillId="0" borderId="0" applyFont="0" applyFill="0" applyBorder="0" applyAlignment="0" applyProtection="0"/>
    <xf numFmtId="0" fontId="5" fillId="0" borderId="0" applyNumberFormat="0" applyFill="0" applyBorder="0" applyAlignment="0" applyProtection="0">
      <alignment vertical="top"/>
      <protection locked="0"/>
    </xf>
  </cellStyleXfs>
  <cellXfs count="174">
    <xf numFmtId="0" fontId="0" fillId="0" borderId="0" xfId="0"/>
    <xf numFmtId="0" fontId="2" fillId="0" borderId="0" xfId="0" applyFont="1"/>
    <xf numFmtId="0" fontId="1" fillId="2" borderId="0" xfId="0" applyFont="1" applyFill="1" applyAlignment="1">
      <alignment horizontal="center"/>
    </xf>
    <xf numFmtId="0" fontId="1" fillId="3" borderId="0" xfId="0" applyFont="1" applyFill="1" applyAlignment="1">
      <alignment horizontal="center"/>
    </xf>
    <xf numFmtId="0" fontId="4" fillId="0" borderId="0" xfId="0" applyFont="1"/>
    <xf numFmtId="6" fontId="0" fillId="0" borderId="0" xfId="0" applyNumberFormat="1"/>
    <xf numFmtId="9" fontId="0" fillId="0" borderId="0" xfId="0" applyNumberFormat="1"/>
    <xf numFmtId="8" fontId="0" fillId="0" borderId="0" xfId="0" applyNumberFormat="1"/>
    <xf numFmtId="9" fontId="0" fillId="0" borderId="0" xfId="1" applyFont="1"/>
    <xf numFmtId="0" fontId="5" fillId="0" borderId="0" xfId="2" applyAlignment="1" applyProtection="1"/>
    <xf numFmtId="0" fontId="0" fillId="0" borderId="0" xfId="0" applyAlignment="1">
      <alignment wrapText="1"/>
    </xf>
    <xf numFmtId="0" fontId="0" fillId="0" borderId="0" xfId="0" applyAlignment="1">
      <alignment horizontal="center"/>
    </xf>
    <xf numFmtId="0" fontId="0" fillId="0" borderId="0" xfId="0" applyAlignment="1">
      <alignment horizontal="center" wrapText="1"/>
    </xf>
    <xf numFmtId="0" fontId="0" fillId="0" borderId="0" xfId="0" applyAlignment="1"/>
    <xf numFmtId="0" fontId="4" fillId="0" borderId="0" xfId="0" applyFont="1" applyAlignment="1"/>
    <xf numFmtId="9" fontId="0" fillId="0" borderId="0" xfId="1" applyFont="1" applyAlignment="1">
      <alignment horizontal="center"/>
    </xf>
    <xf numFmtId="0" fontId="0" fillId="0" borderId="0" xfId="0" applyAlignment="1">
      <alignment horizontal="left"/>
    </xf>
    <xf numFmtId="0" fontId="0" fillId="0" borderId="0" xfId="0" applyAlignment="1">
      <alignment horizontal="right"/>
    </xf>
    <xf numFmtId="0" fontId="0" fillId="0" borderId="0" xfId="0" applyAlignment="1">
      <alignment horizontal="left" wrapText="1"/>
    </xf>
    <xf numFmtId="0" fontId="2" fillId="0" borderId="0" xfId="0" applyFont="1" applyAlignment="1"/>
    <xf numFmtId="0" fontId="6" fillId="0" borderId="0" xfId="0" applyFont="1" applyAlignment="1"/>
    <xf numFmtId="164" fontId="0" fillId="0" borderId="0" xfId="0" applyNumberFormat="1"/>
    <xf numFmtId="1" fontId="0" fillId="0" borderId="0" xfId="0" applyNumberFormat="1"/>
    <xf numFmtId="0" fontId="6" fillId="0" borderId="0" xfId="0" applyFont="1"/>
    <xf numFmtId="1" fontId="0" fillId="0" borderId="0" xfId="0" applyNumberFormat="1" applyAlignment="1">
      <alignment horizontal="center"/>
    </xf>
    <xf numFmtId="9" fontId="0" fillId="0" borderId="0" xfId="1" applyNumberFormat="1" applyFont="1" applyAlignment="1">
      <alignment horizontal="center"/>
    </xf>
    <xf numFmtId="164" fontId="0" fillId="0" borderId="0" xfId="0" applyNumberFormat="1" applyAlignment="1">
      <alignment horizontal="center"/>
    </xf>
    <xf numFmtId="0" fontId="0" fillId="0" borderId="0" xfId="0" applyAlignment="1">
      <alignment horizontal="center"/>
    </xf>
    <xf numFmtId="0" fontId="7" fillId="0" borderId="1" xfId="0" applyFont="1" applyBorder="1" applyAlignment="1">
      <alignment horizontal="left" vertical="top" wrapText="1"/>
    </xf>
    <xf numFmtId="0" fontId="8" fillId="0" borderId="2" xfId="0" applyFont="1" applyBorder="1" applyAlignment="1">
      <alignment horizontal="center" vertical="top" wrapText="1"/>
    </xf>
    <xf numFmtId="0" fontId="9" fillId="0" borderId="3" xfId="0" applyFont="1" applyBorder="1" applyAlignment="1">
      <alignment horizontal="left" vertical="top"/>
    </xf>
    <xf numFmtId="0" fontId="9" fillId="0" borderId="4" xfId="0" applyFont="1" applyBorder="1" applyAlignment="1">
      <alignment horizontal="center" vertical="top"/>
    </xf>
    <xf numFmtId="9" fontId="9" fillId="0" borderId="4" xfId="0" applyNumberFormat="1" applyFont="1" applyBorder="1" applyAlignment="1">
      <alignment horizontal="center" vertical="top"/>
    </xf>
    <xf numFmtId="0" fontId="8" fillId="0" borderId="3" xfId="0" applyFont="1" applyBorder="1" applyAlignment="1">
      <alignment horizontal="left" vertical="top"/>
    </xf>
    <xf numFmtId="0" fontId="8" fillId="0" borderId="4" xfId="0" applyFont="1" applyBorder="1" applyAlignment="1">
      <alignment horizontal="center" vertical="top"/>
    </xf>
    <xf numFmtId="0" fontId="9" fillId="0" borderId="0" xfId="0" applyFont="1" applyFill="1" applyBorder="1" applyAlignment="1">
      <alignment horizontal="left" vertical="top"/>
    </xf>
    <xf numFmtId="10" fontId="0" fillId="0" borderId="0" xfId="0" applyNumberFormat="1"/>
    <xf numFmtId="0" fontId="0" fillId="0" borderId="0" xfId="0" applyAlignment="1">
      <alignment horizontal="center"/>
    </xf>
    <xf numFmtId="0" fontId="0" fillId="0" borderId="0" xfId="0" applyFont="1"/>
    <xf numFmtId="0" fontId="0" fillId="0" borderId="0" xfId="0" applyNumberFormat="1"/>
    <xf numFmtId="0" fontId="10" fillId="0" borderId="0" xfId="0" applyFont="1"/>
    <xf numFmtId="0" fontId="0" fillId="0" borderId="0" xfId="0" applyAlignment="1">
      <alignment vertical="center"/>
    </xf>
    <xf numFmtId="0" fontId="11" fillId="4" borderId="6" xfId="0" applyFont="1" applyFill="1" applyBorder="1" applyAlignment="1">
      <alignment horizontal="center" vertical="center"/>
    </xf>
    <xf numFmtId="0" fontId="2" fillId="0" borderId="0" xfId="0" applyFont="1" applyBorder="1" applyAlignment="1">
      <alignment horizontal="center" vertical="center" wrapText="1"/>
    </xf>
    <xf numFmtId="0" fontId="11" fillId="4" borderId="0" xfId="0" applyFont="1" applyFill="1" applyBorder="1" applyAlignment="1">
      <alignment horizontal="center" vertical="center"/>
    </xf>
    <xf numFmtId="0" fontId="11" fillId="4" borderId="10" xfId="0" applyFont="1" applyFill="1" applyBorder="1" applyAlignment="1">
      <alignment horizontal="center" vertical="center"/>
    </xf>
    <xf numFmtId="0" fontId="11" fillId="4" borderId="12" xfId="0" applyFont="1" applyFill="1" applyBorder="1" applyAlignment="1">
      <alignment horizontal="center" vertical="center"/>
    </xf>
    <xf numFmtId="0" fontId="11" fillId="4" borderId="13" xfId="0" applyFont="1" applyFill="1" applyBorder="1" applyAlignment="1">
      <alignment horizontal="center" vertical="center"/>
    </xf>
    <xf numFmtId="0" fontId="12" fillId="4" borderId="14" xfId="0" applyFont="1" applyFill="1" applyBorder="1" applyAlignment="1">
      <alignment vertical="center" wrapText="1"/>
    </xf>
    <xf numFmtId="0" fontId="12" fillId="4" borderId="15"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5" xfId="0" applyFont="1" applyFill="1" applyBorder="1" applyAlignment="1">
      <alignment vertical="center"/>
    </xf>
    <xf numFmtId="3" fontId="12" fillId="4" borderId="0" xfId="0" applyNumberFormat="1" applyFont="1" applyFill="1" applyBorder="1" applyAlignment="1">
      <alignment horizontal="right" vertical="center"/>
    </xf>
    <xf numFmtId="0" fontId="12" fillId="4" borderId="12" xfId="0" applyFont="1" applyFill="1" applyBorder="1" applyAlignment="1">
      <alignment horizontal="right" vertical="center"/>
    </xf>
    <xf numFmtId="3" fontId="12" fillId="4" borderId="16" xfId="0" applyNumberFormat="1" applyFont="1" applyFill="1" applyBorder="1" applyAlignment="1">
      <alignment horizontal="right" vertical="center"/>
    </xf>
    <xf numFmtId="3" fontId="12" fillId="4" borderId="17" xfId="0" applyNumberFormat="1" applyFont="1" applyFill="1" applyBorder="1" applyAlignment="1">
      <alignment horizontal="right" vertical="center"/>
    </xf>
    <xf numFmtId="3" fontId="12" fillId="4" borderId="0" xfId="0" applyNumberFormat="1" applyFont="1" applyFill="1" applyAlignment="1">
      <alignment horizontal="right" vertical="center"/>
    </xf>
    <xf numFmtId="3" fontId="12" fillId="4" borderId="13" xfId="0" applyNumberFormat="1" applyFont="1" applyFill="1" applyBorder="1" applyAlignment="1">
      <alignment horizontal="right" vertical="center"/>
    </xf>
    <xf numFmtId="0" fontId="12" fillId="4" borderId="0" xfId="0" applyFont="1" applyFill="1" applyAlignment="1">
      <alignment horizontal="right" vertical="center"/>
    </xf>
    <xf numFmtId="0" fontId="12" fillId="4" borderId="11" xfId="0" applyFont="1" applyFill="1" applyBorder="1" applyAlignment="1">
      <alignment vertical="center"/>
    </xf>
    <xf numFmtId="0" fontId="12" fillId="4" borderId="0" xfId="0" applyFont="1" applyFill="1" applyBorder="1" applyAlignment="1">
      <alignment horizontal="right" vertical="center"/>
    </xf>
    <xf numFmtId="0" fontId="12" fillId="4" borderId="13" xfId="0" applyFont="1" applyFill="1" applyBorder="1" applyAlignment="1">
      <alignment horizontal="right" vertical="center"/>
    </xf>
    <xf numFmtId="0" fontId="12" fillId="4" borderId="3" xfId="0" applyFont="1" applyFill="1" applyBorder="1" applyAlignment="1">
      <alignment vertical="center"/>
    </xf>
    <xf numFmtId="0" fontId="11" fillId="4" borderId="15" xfId="0" applyFont="1" applyFill="1" applyBorder="1" applyAlignment="1">
      <alignment vertical="center"/>
    </xf>
    <xf numFmtId="3" fontId="12" fillId="4" borderId="1" xfId="0" applyNumberFormat="1" applyFont="1" applyFill="1" applyBorder="1" applyAlignment="1">
      <alignment horizontal="right" vertical="center"/>
    </xf>
    <xf numFmtId="3" fontId="12" fillId="4" borderId="7" xfId="0" applyNumberFormat="1" applyFont="1" applyFill="1" applyBorder="1" applyAlignment="1">
      <alignment horizontal="right" vertical="center"/>
    </xf>
    <xf numFmtId="3" fontId="12" fillId="4" borderId="8" xfId="0" applyNumberFormat="1" applyFont="1" applyFill="1" applyBorder="1" applyAlignment="1">
      <alignment horizontal="right" vertical="center"/>
    </xf>
    <xf numFmtId="3" fontId="12" fillId="4" borderId="18" xfId="0" applyNumberFormat="1" applyFont="1" applyFill="1" applyBorder="1" applyAlignment="1">
      <alignment horizontal="right" vertical="center"/>
    </xf>
    <xf numFmtId="3" fontId="12" fillId="4" borderId="2" xfId="0" applyNumberFormat="1" applyFont="1" applyFill="1" applyBorder="1" applyAlignment="1">
      <alignment horizontal="right" vertical="center"/>
    </xf>
    <xf numFmtId="0" fontId="4" fillId="0" borderId="0" xfId="0" applyFont="1" applyAlignment="1">
      <alignment vertical="center"/>
    </xf>
    <xf numFmtId="0" fontId="2" fillId="0" borderId="0" xfId="0" applyFont="1" applyAlignment="1">
      <alignment vertical="center"/>
    </xf>
    <xf numFmtId="3" fontId="0" fillId="0" borderId="0" xfId="0" applyNumberFormat="1" applyAlignment="1">
      <alignment vertical="center"/>
    </xf>
    <xf numFmtId="9" fontId="0" fillId="0" borderId="0" xfId="1" applyFont="1" applyAlignment="1">
      <alignment vertical="center"/>
    </xf>
    <xf numFmtId="0" fontId="15" fillId="0" borderId="0" xfId="0" applyFont="1" applyAlignment="1">
      <alignment vertical="center"/>
    </xf>
    <xf numFmtId="0" fontId="0" fillId="0" borderId="0" xfId="0" applyAlignment="1">
      <alignment vertical="center" wrapText="1"/>
    </xf>
    <xf numFmtId="0" fontId="0" fillId="0" borderId="0" xfId="0" applyAlignment="1">
      <alignment horizontal="center" vertical="center" wrapText="1"/>
    </xf>
    <xf numFmtId="164" fontId="0" fillId="0" borderId="0" xfId="0" applyNumberFormat="1" applyAlignment="1">
      <alignment vertical="center"/>
    </xf>
    <xf numFmtId="1" fontId="0" fillId="0" borderId="0" xfId="0" applyNumberFormat="1" applyAlignment="1">
      <alignment horizontal="center" vertical="center"/>
    </xf>
    <xf numFmtId="1" fontId="0" fillId="0" borderId="0" xfId="0" applyNumberFormat="1" applyAlignment="1">
      <alignment vertical="center"/>
    </xf>
    <xf numFmtId="0" fontId="15" fillId="0" borderId="0" xfId="0" applyFont="1" applyAlignment="1">
      <alignment vertical="center" wrapText="1"/>
    </xf>
    <xf numFmtId="9" fontId="0" fillId="0" borderId="0" xfId="0" applyNumberFormat="1" applyAlignment="1">
      <alignment vertical="center"/>
    </xf>
    <xf numFmtId="3" fontId="0" fillId="0" borderId="0" xfId="0" applyNumberFormat="1" applyAlignment="1">
      <alignment vertical="center" wrapText="1"/>
    </xf>
    <xf numFmtId="164" fontId="0" fillId="0" borderId="0" xfId="0" applyNumberFormat="1" applyAlignment="1">
      <alignment vertical="center" wrapText="1"/>
    </xf>
    <xf numFmtId="2" fontId="0" fillId="0" borderId="0" xfId="0" applyNumberFormat="1" applyAlignment="1">
      <alignment vertical="center"/>
    </xf>
    <xf numFmtId="0" fontId="11" fillId="4" borderId="6" xfId="0" applyFont="1" applyFill="1" applyBorder="1" applyAlignment="1">
      <alignment horizontal="center" vertical="center" wrapText="1"/>
    </xf>
    <xf numFmtId="0" fontId="0" fillId="0" borderId="0" xfId="0" applyAlignment="1">
      <alignment horizontal="center" vertical="center"/>
    </xf>
    <xf numFmtId="0" fontId="2" fillId="0" borderId="0" xfId="0" applyFont="1" applyAlignment="1">
      <alignment horizontal="center" vertical="center" wrapText="1"/>
    </xf>
    <xf numFmtId="9" fontId="0" fillId="0" borderId="0" xfId="0" applyNumberFormat="1" applyAlignment="1">
      <alignment horizontal="center" vertical="center"/>
    </xf>
    <xf numFmtId="164" fontId="0" fillId="0" borderId="0" xfId="0" applyNumberFormat="1" applyAlignment="1">
      <alignment horizontal="center" vertical="center"/>
    </xf>
    <xf numFmtId="0" fontId="2" fillId="0" borderId="0" xfId="0" applyFont="1" applyAlignment="1">
      <alignment horizontal="left" vertical="center" wrapText="1"/>
    </xf>
    <xf numFmtId="0" fontId="0" fillId="0" borderId="0" xfId="0" applyAlignment="1">
      <alignment horizontal="left" vertical="center"/>
    </xf>
    <xf numFmtId="3" fontId="12" fillId="4" borderId="17" xfId="0" applyNumberFormat="1" applyFont="1" applyFill="1" applyBorder="1" applyAlignment="1">
      <alignment horizontal="center" vertical="center"/>
    </xf>
    <xf numFmtId="3" fontId="12" fillId="4" borderId="0" xfId="0" applyNumberFormat="1" applyFont="1" applyFill="1" applyBorder="1" applyAlignment="1">
      <alignment horizontal="center" vertical="center"/>
    </xf>
    <xf numFmtId="3" fontId="12" fillId="4" borderId="16" xfId="0" applyNumberFormat="1" applyFont="1" applyFill="1" applyBorder="1" applyAlignment="1">
      <alignment horizontal="center" vertical="center"/>
    </xf>
    <xf numFmtId="3" fontId="12" fillId="4" borderId="0" xfId="0" applyNumberFormat="1" applyFont="1" applyFill="1" applyAlignment="1">
      <alignment horizontal="center" vertical="center"/>
    </xf>
    <xf numFmtId="3" fontId="12" fillId="4" borderId="13" xfId="0" applyNumberFormat="1" applyFont="1" applyFill="1" applyBorder="1" applyAlignment="1">
      <alignment horizontal="center" vertical="center"/>
    </xf>
    <xf numFmtId="3" fontId="12" fillId="4" borderId="1" xfId="0" applyNumberFormat="1" applyFont="1" applyFill="1" applyBorder="1" applyAlignment="1">
      <alignment horizontal="center" vertical="center"/>
    </xf>
    <xf numFmtId="3" fontId="12" fillId="4" borderId="8" xfId="0" applyNumberFormat="1" applyFont="1" applyFill="1" applyBorder="1" applyAlignment="1">
      <alignment horizontal="center" vertical="center"/>
    </xf>
    <xf numFmtId="3" fontId="12" fillId="4" borderId="18" xfId="0" applyNumberFormat="1" applyFont="1" applyFill="1" applyBorder="1" applyAlignment="1">
      <alignment horizontal="center" vertical="center"/>
    </xf>
    <xf numFmtId="3" fontId="12" fillId="4" borderId="7" xfId="0" applyNumberFormat="1" applyFont="1" applyFill="1" applyBorder="1" applyAlignment="1">
      <alignment horizontal="center" vertical="center"/>
    </xf>
    <xf numFmtId="3" fontId="12" fillId="4" borderId="2" xfId="0" applyNumberFormat="1" applyFont="1" applyFill="1" applyBorder="1" applyAlignment="1">
      <alignment horizontal="center" vertical="center"/>
    </xf>
    <xf numFmtId="0" fontId="0" fillId="0" borderId="19" xfId="0" applyBorder="1" applyAlignment="1">
      <alignment vertical="center"/>
    </xf>
    <xf numFmtId="1" fontId="0" fillId="0" borderId="19" xfId="0" applyNumberFormat="1" applyBorder="1" applyAlignment="1">
      <alignment horizontal="center" vertical="center"/>
    </xf>
    <xf numFmtId="0" fontId="2" fillId="0" borderId="19" xfId="0" applyFont="1" applyBorder="1" applyAlignment="1">
      <alignment horizontal="center" vertical="center" wrapText="1"/>
    </xf>
    <xf numFmtId="0" fontId="2" fillId="0" borderId="19" xfId="0" applyFont="1" applyBorder="1" applyAlignment="1">
      <alignment vertical="center"/>
    </xf>
    <xf numFmtId="0" fontId="6" fillId="0" borderId="19" xfId="0" applyFont="1" applyBorder="1" applyAlignment="1">
      <alignment vertical="center"/>
    </xf>
    <xf numFmtId="1" fontId="6" fillId="0" borderId="19" xfId="0" applyNumberFormat="1" applyFont="1" applyBorder="1" applyAlignment="1">
      <alignment horizontal="center" vertical="center"/>
    </xf>
    <xf numFmtId="0" fontId="17" fillId="0" borderId="0" xfId="0" applyFont="1" applyAlignment="1">
      <alignment vertical="center"/>
    </xf>
    <xf numFmtId="0" fontId="0" fillId="0" borderId="0" xfId="0" applyAlignment="1">
      <alignment horizontal="center"/>
    </xf>
    <xf numFmtId="0" fontId="2" fillId="0" borderId="0" xfId="0" applyFont="1" applyAlignment="1">
      <alignment horizontal="center" wrapText="1"/>
    </xf>
    <xf numFmtId="0" fontId="15" fillId="0" borderId="0" xfId="0" applyFont="1"/>
    <xf numFmtId="0" fontId="2" fillId="0" borderId="19" xfId="0" applyFont="1" applyBorder="1"/>
    <xf numFmtId="0" fontId="2" fillId="0" borderId="19" xfId="0" applyFont="1" applyBorder="1" applyAlignment="1">
      <alignment horizontal="center" wrapText="1"/>
    </xf>
    <xf numFmtId="1" fontId="0" fillId="0" borderId="19" xfId="0" applyNumberFormat="1" applyBorder="1" applyAlignment="1">
      <alignment horizontal="center"/>
    </xf>
    <xf numFmtId="165" fontId="0" fillId="0" borderId="19" xfId="1" applyNumberFormat="1" applyFont="1" applyBorder="1" applyAlignment="1">
      <alignment horizontal="center"/>
    </xf>
    <xf numFmtId="0" fontId="18" fillId="0" borderId="0" xfId="0" applyFont="1"/>
    <xf numFmtId="165" fontId="0" fillId="0" borderId="0" xfId="1" applyNumberFormat="1" applyFont="1" applyAlignment="1">
      <alignment horizontal="center"/>
    </xf>
    <xf numFmtId="9" fontId="0" fillId="0" borderId="0" xfId="0" applyNumberFormat="1" applyAlignment="1">
      <alignment horizontal="center"/>
    </xf>
    <xf numFmtId="165" fontId="0" fillId="0" borderId="0" xfId="1" applyNumberFormat="1" applyFont="1"/>
    <xf numFmtId="2" fontId="0" fillId="0" borderId="19" xfId="0" applyNumberFormat="1" applyBorder="1" applyAlignment="1">
      <alignment horizontal="center"/>
    </xf>
    <xf numFmtId="0" fontId="0" fillId="0" borderId="0" xfId="0" applyFill="1" applyBorder="1"/>
    <xf numFmtId="165" fontId="0" fillId="0" borderId="0" xfId="0" applyNumberFormat="1"/>
    <xf numFmtId="0" fontId="0" fillId="0" borderId="0" xfId="0" pivotButton="1"/>
    <xf numFmtId="0" fontId="0" fillId="0" borderId="0" xfId="0" applyFont="1" applyAlignment="1">
      <alignment horizontal="center" wrapText="1"/>
    </xf>
    <xf numFmtId="1" fontId="0" fillId="0" borderId="0" xfId="0" applyNumberFormat="1" applyFont="1" applyAlignment="1">
      <alignment horizontal="center" wrapText="1"/>
    </xf>
    <xf numFmtId="0" fontId="0" fillId="0" borderId="19" xfId="0" applyBorder="1"/>
    <xf numFmtId="0" fontId="0" fillId="0" borderId="19" xfId="0" applyBorder="1" applyAlignment="1">
      <alignment wrapText="1"/>
    </xf>
    <xf numFmtId="0" fontId="0" fillId="0" borderId="19" xfId="0" applyBorder="1" applyAlignment="1">
      <alignment horizontal="center" wrapText="1"/>
    </xf>
    <xf numFmtId="0" fontId="19" fillId="0" borderId="0" xfId="0" applyFont="1" applyAlignment="1">
      <alignment horizontal="left" indent="1"/>
    </xf>
    <xf numFmtId="164" fontId="0" fillId="0" borderId="19" xfId="0" applyNumberFormat="1" applyBorder="1"/>
    <xf numFmtId="164" fontId="0" fillId="0" borderId="19" xfId="0" applyNumberFormat="1" applyBorder="1" applyAlignment="1">
      <alignment horizontal="center"/>
    </xf>
    <xf numFmtId="0" fontId="0" fillId="0" borderId="0" xfId="0" applyAlignment="1">
      <alignment horizontal="left" indent="1"/>
    </xf>
    <xf numFmtId="0" fontId="0" fillId="0" borderId="0" xfId="0" applyAlignment="1">
      <alignment horizontal="center"/>
    </xf>
    <xf numFmtId="0" fontId="0" fillId="0" borderId="0" xfId="0" applyAlignment="1">
      <alignment horizontal="center" vertical="center"/>
    </xf>
    <xf numFmtId="0" fontId="11"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9" xfId="0" applyFont="1" applyFill="1" applyBorder="1" applyAlignment="1">
      <alignment horizontal="center" vertical="center"/>
    </xf>
    <xf numFmtId="0" fontId="16" fillId="0" borderId="5"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0" fillId="0" borderId="0" xfId="0" applyAlignment="1">
      <alignment horizontal="center" vertical="center"/>
    </xf>
    <xf numFmtId="0" fontId="11" fillId="4" borderId="5" xfId="0" applyFont="1" applyFill="1" applyBorder="1" applyAlignment="1">
      <alignment vertical="center"/>
    </xf>
    <xf numFmtId="0" fontId="11" fillId="4" borderId="11" xfId="0" applyFont="1" applyFill="1" applyBorder="1" applyAlignment="1">
      <alignment vertical="center"/>
    </xf>
    <xf numFmtId="0" fontId="11" fillId="4" borderId="3" xfId="0" applyFont="1" applyFill="1" applyBorder="1" applyAlignment="1">
      <alignment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5"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3" xfId="0" applyFont="1" applyBorder="1" applyAlignment="1">
      <alignment horizontal="center" vertical="center" wrapText="1"/>
    </xf>
    <xf numFmtId="0" fontId="0" fillId="0" borderId="0" xfId="0" applyAlignment="1">
      <alignment horizontal="center"/>
    </xf>
    <xf numFmtId="0" fontId="0" fillId="0" borderId="19" xfId="0" applyBorder="1" applyAlignment="1">
      <alignment horizontal="center"/>
    </xf>
    <xf numFmtId="0" fontId="2" fillId="0" borderId="19" xfId="0" applyFont="1" applyBorder="1" applyAlignment="1">
      <alignment horizontal="center"/>
    </xf>
    <xf numFmtId="0" fontId="2" fillId="0" borderId="20" xfId="0" applyFont="1" applyBorder="1" applyAlignment="1">
      <alignment horizontal="center"/>
    </xf>
    <xf numFmtId="0" fontId="2" fillId="0" borderId="21" xfId="0" applyFont="1" applyBorder="1" applyAlignment="1">
      <alignment horizontal="center"/>
    </xf>
    <xf numFmtId="0" fontId="2" fillId="0" borderId="22" xfId="0" applyFont="1" applyBorder="1" applyAlignment="1">
      <alignment horizontal="center"/>
    </xf>
    <xf numFmtId="0" fontId="0" fillId="0" borderId="0" xfId="0" applyAlignment="1">
      <alignment horizontal="center" wrapText="1"/>
    </xf>
    <xf numFmtId="4" fontId="0" fillId="0" borderId="0" xfId="0" applyNumberFormat="1"/>
    <xf numFmtId="4" fontId="0" fillId="0" borderId="0" xfId="0" applyNumberFormat="1" applyAlignment="1">
      <alignment vertical="center"/>
    </xf>
    <xf numFmtId="10" fontId="0" fillId="0" borderId="0" xfId="0" applyNumberFormat="1" applyAlignment="1">
      <alignment vertical="center"/>
    </xf>
    <xf numFmtId="0" fontId="6" fillId="0" borderId="0" xfId="0" applyFont="1" applyBorder="1" applyAlignment="1">
      <alignment vertical="center"/>
    </xf>
    <xf numFmtId="1" fontId="6" fillId="0" borderId="0" xfId="0" applyNumberFormat="1" applyFont="1" applyBorder="1" applyAlignment="1">
      <alignment horizontal="center" vertical="center"/>
    </xf>
    <xf numFmtId="1" fontId="0" fillId="0" borderId="0" xfId="0" applyNumberFormat="1" applyBorder="1" applyAlignment="1">
      <alignment horizontal="center" vertical="center"/>
    </xf>
    <xf numFmtId="0" fontId="2" fillId="0" borderId="0" xfId="0" applyFont="1" applyBorder="1" applyAlignment="1">
      <alignment vertical="center"/>
    </xf>
    <xf numFmtId="0" fontId="0" fillId="0" borderId="0" xfId="0" applyBorder="1" applyAlignment="1">
      <alignment vertical="center"/>
    </xf>
    <xf numFmtId="0" fontId="0" fillId="0" borderId="0" xfId="0" applyFont="1" applyAlignment="1">
      <alignment vertical="center"/>
    </xf>
    <xf numFmtId="1" fontId="0" fillId="0" borderId="0" xfId="0" applyNumberFormat="1" applyFont="1" applyBorder="1" applyAlignment="1">
      <alignment horizontal="center" vertical="center"/>
    </xf>
    <xf numFmtId="164" fontId="0" fillId="0" borderId="0" xfId="0" applyNumberFormat="1" applyFont="1" applyBorder="1" applyAlignment="1">
      <alignment horizontal="center" vertical="center"/>
    </xf>
    <xf numFmtId="0" fontId="6" fillId="0" borderId="19" xfId="0" applyFont="1" applyBorder="1" applyAlignment="1">
      <alignment horizontal="center" vertical="center"/>
    </xf>
    <xf numFmtId="164" fontId="0" fillId="0" borderId="19" xfId="0" applyNumberFormat="1" applyBorder="1" applyAlignment="1">
      <alignment horizontal="center" vertical="center"/>
    </xf>
    <xf numFmtId="164" fontId="6" fillId="0" borderId="19" xfId="0" applyNumberFormat="1" applyFont="1" applyBorder="1" applyAlignment="1">
      <alignment horizontal="center" vertical="center"/>
    </xf>
  </cellXfs>
  <cellStyles count="3">
    <cellStyle name="Hyperlink" xfId="2" builtinId="8"/>
    <cellStyle name="Normal" xfId="0" builtinId="0"/>
    <cellStyle name="Percent" xfId="1" builtinId="5"/>
  </cellStyles>
  <dxfs count="1">
    <dxf>
      <numFmt numFmtId="1" formatCode="0"/>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worksheet" Target="worksheets/sheet10.xml"/><Relationship Id="rId18" Type="http://schemas.openxmlformats.org/officeDocument/2006/relationships/worksheet" Target="worksheets/sheet15.xml"/><Relationship Id="rId26" Type="http://schemas.openxmlformats.org/officeDocument/2006/relationships/theme" Target="theme/theme1.xml"/><Relationship Id="rId3" Type="http://schemas.openxmlformats.org/officeDocument/2006/relationships/chartsheet" Target="chartsheets/sheet1.xml"/><Relationship Id="rId21" Type="http://schemas.openxmlformats.org/officeDocument/2006/relationships/worksheet" Target="worksheets/sheet18.xml"/><Relationship Id="rId7" Type="http://schemas.openxmlformats.org/officeDocument/2006/relationships/worksheet" Target="worksheets/sheet5.xml"/><Relationship Id="rId12" Type="http://schemas.openxmlformats.org/officeDocument/2006/relationships/worksheet" Target="worksheets/sheet9.xml"/><Relationship Id="rId17" Type="http://schemas.openxmlformats.org/officeDocument/2006/relationships/worksheet" Target="worksheets/sheet14.xml"/><Relationship Id="rId25"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3.xml"/><Relationship Id="rId20" Type="http://schemas.openxmlformats.org/officeDocument/2006/relationships/worksheet" Target="worksheets/sheet17.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4.xml"/><Relationship Id="rId11" Type="http://schemas.openxmlformats.org/officeDocument/2006/relationships/worksheet" Target="worksheets/sheet8.xml"/><Relationship Id="rId24" Type="http://schemas.openxmlformats.org/officeDocument/2006/relationships/pivotCacheDefinition" Target="pivotCache/pivotCacheDefinition2.xml"/><Relationship Id="rId5" Type="http://schemas.openxmlformats.org/officeDocument/2006/relationships/chartsheet" Target="chartsheets/sheet2.xml"/><Relationship Id="rId15" Type="http://schemas.openxmlformats.org/officeDocument/2006/relationships/worksheet" Target="worksheets/sheet12.xml"/><Relationship Id="rId23" Type="http://schemas.openxmlformats.org/officeDocument/2006/relationships/pivotCacheDefinition" Target="pivotCache/pivotCacheDefinition1.xml"/><Relationship Id="rId28" Type="http://schemas.openxmlformats.org/officeDocument/2006/relationships/sharedStrings" Target="sharedStrings.xml"/><Relationship Id="rId10" Type="http://schemas.openxmlformats.org/officeDocument/2006/relationships/worksheet" Target="worksheets/sheet7.xml"/><Relationship Id="rId19" Type="http://schemas.openxmlformats.org/officeDocument/2006/relationships/worksheet" Target="worksheets/sheet16.xml"/><Relationship Id="rId4" Type="http://schemas.openxmlformats.org/officeDocument/2006/relationships/worksheet" Target="worksheets/sheet3.xml"/><Relationship Id="rId9" Type="http://schemas.openxmlformats.org/officeDocument/2006/relationships/worksheet" Target="worksheets/sheet6.xml"/><Relationship Id="rId14" Type="http://schemas.openxmlformats.org/officeDocument/2006/relationships/worksheet" Target="worksheets/sheet11.xml"/><Relationship Id="rId22" Type="http://schemas.openxmlformats.org/officeDocument/2006/relationships/worksheet" Target="worksheets/sheet19.xml"/><Relationship Id="rId27"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lang val="en-GB"/>
  <c:pivotSource>
    <c:name>[SWDCEP Workbook3 Renewable Energy.xlsx]PIVOT!PivotTable2</c:name>
    <c:fmtId val="1"/>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dLbl>
          <c:idx val="0"/>
          <c:layout/>
          <c:spPr/>
          <c:txPr>
            <a:bodyPr/>
            <a:lstStyle/>
            <a:p>
              <a:pPr>
                <a:defRPr/>
              </a:pPr>
              <a:endParaRPr lang="en-US"/>
            </a:p>
          </c:txPr>
          <c:dLblPos val="bestFit"/>
          <c:showVal val="1"/>
          <c:showCatName val="1"/>
          <c:showPercent val="1"/>
        </c:dLbl>
      </c:pivotFmt>
    </c:pivotFmts>
    <c:plotArea>
      <c:layout/>
      <c:pieChart>
        <c:varyColors val="1"/>
        <c:ser>
          <c:idx val="0"/>
          <c:order val="0"/>
          <c:tx>
            <c:strRef>
              <c:f>PIVOT!$B$3</c:f>
              <c:strCache>
                <c:ptCount val="1"/>
                <c:pt idx="0">
                  <c:v>Total</c:v>
                </c:pt>
              </c:strCache>
            </c:strRef>
          </c:tx>
          <c:dLbls>
            <c:spPr/>
            <c:txPr>
              <a:bodyPr/>
              <a:lstStyle/>
              <a:p>
                <a:pPr>
                  <a:defRPr/>
                </a:pPr>
                <a:endParaRPr lang="en-US"/>
              </a:p>
            </c:txPr>
            <c:dLblPos val="bestFit"/>
            <c:showVal val="1"/>
            <c:showCatName val="1"/>
            <c:showPercent val="1"/>
            <c:showLeaderLines val="1"/>
          </c:dLbls>
          <c:cat>
            <c:strRef>
              <c:f>PIVOT!$A$4:$A$22</c:f>
              <c:strCache>
                <c:ptCount val="18"/>
                <c:pt idx="0">
                  <c:v>Large Scale Wind</c:v>
                </c:pt>
                <c:pt idx="1">
                  <c:v>Medium Scale Wind</c:v>
                </c:pt>
                <c:pt idx="2">
                  <c:v>Micro Wind</c:v>
                </c:pt>
                <c:pt idx="3">
                  <c:v>Clean Wood</c:v>
                </c:pt>
                <c:pt idx="4">
                  <c:v>Treated Wood</c:v>
                </c:pt>
                <c:pt idx="5">
                  <c:v>Wet Biomass</c:v>
                </c:pt>
                <c:pt idx="6">
                  <c:v>Residual Waste</c:v>
                </c:pt>
                <c:pt idx="7">
                  <c:v>Hydro</c:v>
                </c:pt>
                <c:pt idx="8">
                  <c:v>Geothermal</c:v>
                </c:pt>
                <c:pt idx="9">
                  <c:v>PV Farms</c:v>
                </c:pt>
                <c:pt idx="10">
                  <c:v>Domestic PV</c:v>
                </c:pt>
                <c:pt idx="11">
                  <c:v>Non-domestic PV</c:v>
                </c:pt>
                <c:pt idx="12">
                  <c:v>Domestic SWH</c:v>
                </c:pt>
                <c:pt idx="13">
                  <c:v>Non-domestic SWH</c:v>
                </c:pt>
                <c:pt idx="14">
                  <c:v>Domestic biomass</c:v>
                </c:pt>
                <c:pt idx="15">
                  <c:v>Non-domestic biomass</c:v>
                </c:pt>
                <c:pt idx="16">
                  <c:v>Domestic Heat Pumps</c:v>
                </c:pt>
                <c:pt idx="17">
                  <c:v>Non-domestic heat pumps</c:v>
                </c:pt>
              </c:strCache>
            </c:strRef>
          </c:cat>
          <c:val>
            <c:numRef>
              <c:f>PIVOT!$B$4:$B$22</c:f>
              <c:numCache>
                <c:formatCode>0</c:formatCode>
                <c:ptCount val="18"/>
                <c:pt idx="0">
                  <c:v>1291</c:v>
                </c:pt>
                <c:pt idx="1">
                  <c:v>4</c:v>
                </c:pt>
                <c:pt idx="2">
                  <c:v>289.46577236234799</c:v>
                </c:pt>
                <c:pt idx="3">
                  <c:v>252.56778199820346</c:v>
                </c:pt>
                <c:pt idx="4">
                  <c:v>18.128833975198337</c:v>
                </c:pt>
                <c:pt idx="5">
                  <c:v>19.691912081116293</c:v>
                </c:pt>
                <c:pt idx="6">
                  <c:v>46.323782057565609</c:v>
                </c:pt>
                <c:pt idx="7">
                  <c:v>28.432355326671118</c:v>
                </c:pt>
                <c:pt idx="8">
                  <c:v>169.04062500000001</c:v>
                </c:pt>
                <c:pt idx="9">
                  <c:v>180.23463925233648</c:v>
                </c:pt>
                <c:pt idx="10">
                  <c:v>36.921649044784921</c:v>
                </c:pt>
                <c:pt idx="11">
                  <c:v>19.366211125921666</c:v>
                </c:pt>
                <c:pt idx="12">
                  <c:v>23.044585396147308</c:v>
                </c:pt>
                <c:pt idx="13">
                  <c:v>3.1012513940667055</c:v>
                </c:pt>
                <c:pt idx="14">
                  <c:v>316.96860093317292</c:v>
                </c:pt>
                <c:pt idx="15">
                  <c:v>189.0667901690083</c:v>
                </c:pt>
                <c:pt idx="16">
                  <c:v>227.44238654881039</c:v>
                </c:pt>
                <c:pt idx="17">
                  <c:v>122.500171947417</c:v>
                </c:pt>
              </c:numCache>
            </c:numRef>
          </c:val>
        </c:ser>
        <c:firstSliceAng val="0"/>
      </c:pieChart>
    </c:plotArea>
    <c:legend>
      <c:legendPos val="r"/>
      <c:layout/>
    </c:legend>
    <c:plotVisOnly val="1"/>
  </c:chart>
  <c:spPr>
    <a:ln>
      <a:noFill/>
    </a:ln>
  </c:spPr>
  <c:txPr>
    <a:bodyPr/>
    <a:lstStyle/>
    <a:p>
      <a:pPr>
        <a:defRPr sz="1200"/>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lang val="en-GB"/>
  <c:pivotSource>
    <c:name>[SWDCEP Workbook3 Renewable Energy.xlsx]PIVOT2!PivotTable2</c:name>
    <c:fmtId val="1"/>
  </c:pivotSource>
  <c:chart>
    <c:title>
      <c:tx>
        <c:rich>
          <a:bodyPr/>
          <a:lstStyle/>
          <a:p>
            <a:pPr>
              <a:defRPr/>
            </a:pPr>
            <a:r>
              <a:rPr lang="en-GB"/>
              <a:t>Total Potential Energy Supply by Area and Technology</a:t>
            </a:r>
          </a:p>
        </c:rich>
      </c:tx>
      <c:layout>
        <c:manualLayout>
          <c:xMode val="edge"/>
          <c:yMode val="edge"/>
          <c:x val="0.12679762758978105"/>
          <c:y val="4.1783442340412334E-2"/>
        </c:manualLayout>
      </c:layout>
      <c:overlay val="1"/>
    </c:title>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pivotFmt>
      <c:pivotFmt>
        <c:idx val="45"/>
        <c:marker>
          <c:symbol val="none"/>
        </c:marker>
      </c:pivotFmt>
      <c:pivotFmt>
        <c:idx val="46"/>
        <c:marker>
          <c:symbol val="none"/>
        </c:marker>
      </c:pivotFmt>
    </c:pivotFmts>
    <c:plotArea>
      <c:layout/>
      <c:barChart>
        <c:barDir val="col"/>
        <c:grouping val="stacked"/>
        <c:ser>
          <c:idx val="0"/>
          <c:order val="0"/>
          <c:tx>
            <c:strRef>
              <c:f>PIVOT2!$B$1:$B$2</c:f>
              <c:strCache>
                <c:ptCount val="1"/>
                <c:pt idx="0">
                  <c:v>Sum of Hydro: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PIVOT2!$B$3:$B$19</c:f>
              <c:numCache>
                <c:formatCode>General</c:formatCode>
                <c:ptCount val="12"/>
                <c:pt idx="0">
                  <c:v>0</c:v>
                </c:pt>
                <c:pt idx="1">
                  <c:v>0</c:v>
                </c:pt>
                <c:pt idx="2">
                  <c:v>6.5318310876632264</c:v>
                </c:pt>
                <c:pt idx="3">
                  <c:v>0</c:v>
                </c:pt>
                <c:pt idx="4">
                  <c:v>0</c:v>
                </c:pt>
                <c:pt idx="5">
                  <c:v>21.853072153325819</c:v>
                </c:pt>
                <c:pt idx="6">
                  <c:v>0</c:v>
                </c:pt>
                <c:pt idx="7">
                  <c:v>0</c:v>
                </c:pt>
                <c:pt idx="8">
                  <c:v>16.979416009019168</c:v>
                </c:pt>
                <c:pt idx="9">
                  <c:v>0</c:v>
                </c:pt>
                <c:pt idx="10">
                  <c:v>0</c:v>
                </c:pt>
                <c:pt idx="11">
                  <c:v>28.432355326671118</c:v>
                </c:pt>
              </c:numCache>
            </c:numRef>
          </c:val>
        </c:ser>
        <c:ser>
          <c:idx val="1"/>
          <c:order val="1"/>
          <c:tx>
            <c:strRef>
              <c:f>PIVOT2!$C$1:$C$2</c:f>
              <c:strCache>
                <c:ptCount val="1"/>
                <c:pt idx="0">
                  <c:v>Sum of Geothermal: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PIVOT2!$C$3:$C$19</c:f>
              <c:numCache>
                <c:formatCode>General</c:formatCode>
                <c:ptCount val="12"/>
                <c:pt idx="0">
                  <c:v>0</c:v>
                </c:pt>
                <c:pt idx="1">
                  <c:v>0</c:v>
                </c:pt>
                <c:pt idx="2">
                  <c:v>0</c:v>
                </c:pt>
                <c:pt idx="3">
                  <c:v>0</c:v>
                </c:pt>
                <c:pt idx="4">
                  <c:v>0</c:v>
                </c:pt>
                <c:pt idx="5">
                  <c:v>0</c:v>
                </c:pt>
                <c:pt idx="6">
                  <c:v>0</c:v>
                </c:pt>
                <c:pt idx="7">
                  <c:v>0</c:v>
                </c:pt>
                <c:pt idx="8">
                  <c:v>169.04062500000001</c:v>
                </c:pt>
                <c:pt idx="9">
                  <c:v>0</c:v>
                </c:pt>
                <c:pt idx="10">
                  <c:v>0</c:v>
                </c:pt>
                <c:pt idx="11">
                  <c:v>169.04062500000001</c:v>
                </c:pt>
              </c:numCache>
            </c:numRef>
          </c:val>
        </c:ser>
        <c:ser>
          <c:idx val="2"/>
          <c:order val="2"/>
          <c:tx>
            <c:strRef>
              <c:f>PIVOT2!$D$1:$D$2</c:f>
              <c:strCache>
                <c:ptCount val="1"/>
                <c:pt idx="0">
                  <c:v>Sum of Clean Wood: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PIVOT2!$D$3:$D$19</c:f>
              <c:numCache>
                <c:formatCode>General</c:formatCode>
                <c:ptCount val="12"/>
                <c:pt idx="0">
                  <c:v>0</c:v>
                </c:pt>
                <c:pt idx="1">
                  <c:v>0</c:v>
                </c:pt>
                <c:pt idx="2">
                  <c:v>90.244514404768196</c:v>
                </c:pt>
                <c:pt idx="3">
                  <c:v>0</c:v>
                </c:pt>
                <c:pt idx="4">
                  <c:v>0</c:v>
                </c:pt>
                <c:pt idx="5">
                  <c:v>120.41189130982447</c:v>
                </c:pt>
                <c:pt idx="6">
                  <c:v>0</c:v>
                </c:pt>
                <c:pt idx="7">
                  <c:v>0</c:v>
                </c:pt>
                <c:pt idx="8">
                  <c:v>99.027184575314791</c:v>
                </c:pt>
                <c:pt idx="9">
                  <c:v>0</c:v>
                </c:pt>
                <c:pt idx="10">
                  <c:v>0</c:v>
                </c:pt>
                <c:pt idx="11">
                  <c:v>252.56778199820346</c:v>
                </c:pt>
              </c:numCache>
            </c:numRef>
          </c:val>
        </c:ser>
        <c:ser>
          <c:idx val="3"/>
          <c:order val="3"/>
          <c:tx>
            <c:strRef>
              <c:f>PIVOT2!$E$1:$E$2</c:f>
              <c:strCache>
                <c:ptCount val="1"/>
                <c:pt idx="0">
                  <c:v>Sum of Treated Wood: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PIVOT2!$E$3:$E$19</c:f>
              <c:numCache>
                <c:formatCode>General</c:formatCode>
                <c:ptCount val="12"/>
                <c:pt idx="0">
                  <c:v>0</c:v>
                </c:pt>
                <c:pt idx="1">
                  <c:v>0</c:v>
                </c:pt>
                <c:pt idx="2">
                  <c:v>10.8965</c:v>
                </c:pt>
                <c:pt idx="3">
                  <c:v>0</c:v>
                </c:pt>
                <c:pt idx="4">
                  <c:v>0</c:v>
                </c:pt>
                <c:pt idx="5">
                  <c:v>5.9089999999999998</c:v>
                </c:pt>
                <c:pt idx="6">
                  <c:v>0</c:v>
                </c:pt>
                <c:pt idx="7">
                  <c:v>0</c:v>
                </c:pt>
                <c:pt idx="8">
                  <c:v>3.1682896413222452</c:v>
                </c:pt>
                <c:pt idx="9">
                  <c:v>0</c:v>
                </c:pt>
                <c:pt idx="10">
                  <c:v>0</c:v>
                </c:pt>
                <c:pt idx="11">
                  <c:v>18.128833975198337</c:v>
                </c:pt>
              </c:numCache>
            </c:numRef>
          </c:val>
        </c:ser>
        <c:ser>
          <c:idx val="4"/>
          <c:order val="4"/>
          <c:tx>
            <c:strRef>
              <c:f>PIVOT2!$F$1:$F$2</c:f>
              <c:strCache>
                <c:ptCount val="1"/>
                <c:pt idx="0">
                  <c:v>Sum of Wet Biomass: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PIVOT2!$F$3:$F$19</c:f>
              <c:numCache>
                <c:formatCode>General</c:formatCode>
                <c:ptCount val="12"/>
                <c:pt idx="0">
                  <c:v>0</c:v>
                </c:pt>
                <c:pt idx="1">
                  <c:v>0</c:v>
                </c:pt>
                <c:pt idx="2">
                  <c:v>9.5940549833333328</c:v>
                </c:pt>
                <c:pt idx="3">
                  <c:v>0</c:v>
                </c:pt>
                <c:pt idx="4">
                  <c:v>0</c:v>
                </c:pt>
                <c:pt idx="5">
                  <c:v>9.6118395022222227</c:v>
                </c:pt>
                <c:pt idx="6">
                  <c:v>0</c:v>
                </c:pt>
                <c:pt idx="7">
                  <c:v>0</c:v>
                </c:pt>
                <c:pt idx="8">
                  <c:v>1.1636176791060595</c:v>
                </c:pt>
                <c:pt idx="9">
                  <c:v>0</c:v>
                </c:pt>
                <c:pt idx="10">
                  <c:v>0</c:v>
                </c:pt>
                <c:pt idx="11">
                  <c:v>19.691912081116293</c:v>
                </c:pt>
              </c:numCache>
            </c:numRef>
          </c:val>
        </c:ser>
        <c:ser>
          <c:idx val="5"/>
          <c:order val="5"/>
          <c:tx>
            <c:strRef>
              <c:f>PIVOT2!$G$1:$G$2</c:f>
              <c:strCache>
                <c:ptCount val="1"/>
                <c:pt idx="0">
                  <c:v>Sum of Residual Waste: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PIVOT2!$G$3:$G$19</c:f>
              <c:numCache>
                <c:formatCode>General</c:formatCode>
                <c:ptCount val="12"/>
                <c:pt idx="0">
                  <c:v>0</c:v>
                </c:pt>
                <c:pt idx="1">
                  <c:v>0</c:v>
                </c:pt>
                <c:pt idx="2">
                  <c:v>25.40722717212417</c:v>
                </c:pt>
                <c:pt idx="3">
                  <c:v>0</c:v>
                </c:pt>
                <c:pt idx="4">
                  <c:v>0</c:v>
                </c:pt>
                <c:pt idx="5">
                  <c:v>16.102945349299134</c:v>
                </c:pt>
                <c:pt idx="6">
                  <c:v>0</c:v>
                </c:pt>
                <c:pt idx="7">
                  <c:v>0</c:v>
                </c:pt>
                <c:pt idx="8">
                  <c:v>11.633353281982759</c:v>
                </c:pt>
                <c:pt idx="9">
                  <c:v>0</c:v>
                </c:pt>
                <c:pt idx="10">
                  <c:v>0</c:v>
                </c:pt>
                <c:pt idx="11">
                  <c:v>46.323782057565609</c:v>
                </c:pt>
              </c:numCache>
            </c:numRef>
          </c:val>
        </c:ser>
        <c:ser>
          <c:idx val="6"/>
          <c:order val="6"/>
          <c:tx>
            <c:strRef>
              <c:f>PIVOT2!$H$1:$H$2</c:f>
              <c:strCache>
                <c:ptCount val="1"/>
                <c:pt idx="0">
                  <c:v>Sum of PV Farms: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PIVOT2!$H$3:$H$19</c:f>
              <c:numCache>
                <c:formatCode>General</c:formatCode>
                <c:ptCount val="12"/>
                <c:pt idx="0">
                  <c:v>0</c:v>
                </c:pt>
                <c:pt idx="1">
                  <c:v>0</c:v>
                </c:pt>
                <c:pt idx="2">
                  <c:v>75.097766355140195</c:v>
                </c:pt>
                <c:pt idx="3">
                  <c:v>0</c:v>
                </c:pt>
                <c:pt idx="4">
                  <c:v>0</c:v>
                </c:pt>
                <c:pt idx="5">
                  <c:v>105.13687289719627</c:v>
                </c:pt>
                <c:pt idx="6">
                  <c:v>0</c:v>
                </c:pt>
                <c:pt idx="7">
                  <c:v>0</c:v>
                </c:pt>
                <c:pt idx="8">
                  <c:v>0</c:v>
                </c:pt>
                <c:pt idx="9">
                  <c:v>0</c:v>
                </c:pt>
                <c:pt idx="10">
                  <c:v>0</c:v>
                </c:pt>
                <c:pt idx="11">
                  <c:v>180.23463925233648</c:v>
                </c:pt>
              </c:numCache>
            </c:numRef>
          </c:val>
        </c:ser>
        <c:ser>
          <c:idx val="7"/>
          <c:order val="7"/>
          <c:tx>
            <c:strRef>
              <c:f>PIVOT2!$I$1:$I$2</c:f>
              <c:strCache>
                <c:ptCount val="1"/>
                <c:pt idx="0">
                  <c:v>Sum of Domestic PV: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PIVOT2!$I$3:$I$19</c:f>
              <c:numCache>
                <c:formatCode>General</c:formatCode>
                <c:ptCount val="12"/>
                <c:pt idx="0">
                  <c:v>0</c:v>
                </c:pt>
                <c:pt idx="1">
                  <c:v>0</c:v>
                </c:pt>
                <c:pt idx="2">
                  <c:v>19.693928100000001</c:v>
                </c:pt>
                <c:pt idx="3">
                  <c:v>0</c:v>
                </c:pt>
                <c:pt idx="4">
                  <c:v>0</c:v>
                </c:pt>
                <c:pt idx="5">
                  <c:v>13.6393775</c:v>
                </c:pt>
                <c:pt idx="6">
                  <c:v>0</c:v>
                </c:pt>
                <c:pt idx="7">
                  <c:v>0</c:v>
                </c:pt>
                <c:pt idx="8">
                  <c:v>7.3957032636543207</c:v>
                </c:pt>
                <c:pt idx="9">
                  <c:v>0</c:v>
                </c:pt>
                <c:pt idx="10">
                  <c:v>0</c:v>
                </c:pt>
                <c:pt idx="11">
                  <c:v>36.921649044784921</c:v>
                </c:pt>
              </c:numCache>
            </c:numRef>
          </c:val>
        </c:ser>
        <c:ser>
          <c:idx val="8"/>
          <c:order val="8"/>
          <c:tx>
            <c:strRef>
              <c:f>PIVOT2!$J$1:$J$2</c:f>
              <c:strCache>
                <c:ptCount val="1"/>
                <c:pt idx="0">
                  <c:v>Sum of Non-domestic PV: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PIVOT2!$J$3:$J$19</c:f>
              <c:numCache>
                <c:formatCode>General</c:formatCode>
                <c:ptCount val="12"/>
                <c:pt idx="0">
                  <c:v>0</c:v>
                </c:pt>
                <c:pt idx="1">
                  <c:v>0</c:v>
                </c:pt>
                <c:pt idx="2">
                  <c:v>10.7408</c:v>
                </c:pt>
                <c:pt idx="3">
                  <c:v>0</c:v>
                </c:pt>
                <c:pt idx="4">
                  <c:v>0</c:v>
                </c:pt>
                <c:pt idx="5">
                  <c:v>6.6842299999999994</c:v>
                </c:pt>
                <c:pt idx="6">
                  <c:v>0</c:v>
                </c:pt>
                <c:pt idx="7">
                  <c:v>0</c:v>
                </c:pt>
                <c:pt idx="8">
                  <c:v>4.1662905208869665</c:v>
                </c:pt>
                <c:pt idx="9">
                  <c:v>0</c:v>
                </c:pt>
                <c:pt idx="10">
                  <c:v>0</c:v>
                </c:pt>
                <c:pt idx="11">
                  <c:v>19.366211125921666</c:v>
                </c:pt>
              </c:numCache>
            </c:numRef>
          </c:val>
        </c:ser>
        <c:ser>
          <c:idx val="9"/>
          <c:order val="9"/>
          <c:tx>
            <c:strRef>
              <c:f>PIVOT2!$K$1:$K$2</c:f>
              <c:strCache>
                <c:ptCount val="1"/>
                <c:pt idx="0">
                  <c:v>Sum of Domestic SWH: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PIVOT2!$K$3:$K$19</c:f>
              <c:numCache>
                <c:formatCode>General</c:formatCode>
                <c:ptCount val="12"/>
                <c:pt idx="0">
                  <c:v>0</c:v>
                </c:pt>
                <c:pt idx="1">
                  <c:v>0</c:v>
                </c:pt>
                <c:pt idx="2">
                  <c:v>12.915043199999998</c:v>
                </c:pt>
                <c:pt idx="3">
                  <c:v>0</c:v>
                </c:pt>
                <c:pt idx="4">
                  <c:v>0</c:v>
                </c:pt>
                <c:pt idx="5">
                  <c:v>7.9628399999999999</c:v>
                </c:pt>
                <c:pt idx="6">
                  <c:v>0</c:v>
                </c:pt>
                <c:pt idx="7">
                  <c:v>0</c:v>
                </c:pt>
                <c:pt idx="8">
                  <c:v>4.9489730627413442</c:v>
                </c:pt>
                <c:pt idx="9">
                  <c:v>0</c:v>
                </c:pt>
                <c:pt idx="10">
                  <c:v>0</c:v>
                </c:pt>
                <c:pt idx="11">
                  <c:v>23.044585396147308</c:v>
                </c:pt>
              </c:numCache>
            </c:numRef>
          </c:val>
        </c:ser>
        <c:ser>
          <c:idx val="10"/>
          <c:order val="10"/>
          <c:tx>
            <c:strRef>
              <c:f>PIVOT2!$L$1:$L$2</c:f>
              <c:strCache>
                <c:ptCount val="1"/>
                <c:pt idx="0">
                  <c:v>Sum of Non-domestic SWH: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PIVOT2!$L$3:$L$19</c:f>
              <c:numCache>
                <c:formatCode>General</c:formatCode>
                <c:ptCount val="12"/>
                <c:pt idx="0">
                  <c:v>0</c:v>
                </c:pt>
                <c:pt idx="1">
                  <c:v>0</c:v>
                </c:pt>
                <c:pt idx="2">
                  <c:v>1.8781440000000005</c:v>
                </c:pt>
                <c:pt idx="3">
                  <c:v>0</c:v>
                </c:pt>
                <c:pt idx="4">
                  <c:v>0</c:v>
                </c:pt>
                <c:pt idx="5">
                  <c:v>0.89702400000000015</c:v>
                </c:pt>
                <c:pt idx="6">
                  <c:v>0</c:v>
                </c:pt>
                <c:pt idx="7">
                  <c:v>0</c:v>
                </c:pt>
                <c:pt idx="8">
                  <c:v>0.55102053315732513</c:v>
                </c:pt>
                <c:pt idx="9">
                  <c:v>0</c:v>
                </c:pt>
                <c:pt idx="10">
                  <c:v>0</c:v>
                </c:pt>
                <c:pt idx="11">
                  <c:v>3.1012513940667055</c:v>
                </c:pt>
              </c:numCache>
            </c:numRef>
          </c:val>
        </c:ser>
        <c:ser>
          <c:idx val="11"/>
          <c:order val="11"/>
          <c:tx>
            <c:strRef>
              <c:f>PIVOT2!$M$1:$M$2</c:f>
              <c:strCache>
                <c:ptCount val="1"/>
                <c:pt idx="0">
                  <c:v>Sum of Domestic biomass: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PIVOT2!$M$3:$M$19</c:f>
              <c:numCache>
                <c:formatCode>General</c:formatCode>
                <c:ptCount val="12"/>
                <c:pt idx="0">
                  <c:v>0</c:v>
                </c:pt>
                <c:pt idx="1">
                  <c:v>0</c:v>
                </c:pt>
                <c:pt idx="2">
                  <c:v>167.52621188131283</c:v>
                </c:pt>
                <c:pt idx="3">
                  <c:v>0</c:v>
                </c:pt>
                <c:pt idx="4">
                  <c:v>0</c:v>
                </c:pt>
                <c:pt idx="5">
                  <c:v>119.1859207969119</c:v>
                </c:pt>
                <c:pt idx="6">
                  <c:v>0</c:v>
                </c:pt>
                <c:pt idx="7">
                  <c:v>0</c:v>
                </c:pt>
                <c:pt idx="8">
                  <c:v>78.305029341619303</c:v>
                </c:pt>
                <c:pt idx="9">
                  <c:v>0</c:v>
                </c:pt>
                <c:pt idx="10">
                  <c:v>0</c:v>
                </c:pt>
                <c:pt idx="11">
                  <c:v>316.96860093317292</c:v>
                </c:pt>
              </c:numCache>
            </c:numRef>
          </c:val>
        </c:ser>
        <c:ser>
          <c:idx val="12"/>
          <c:order val="12"/>
          <c:tx>
            <c:strRef>
              <c:f>PIVOT2!$N$1:$N$2</c:f>
              <c:strCache>
                <c:ptCount val="1"/>
                <c:pt idx="0">
                  <c:v>Sum of Non-domestic biomass: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PIVOT2!$N$3:$N$19</c:f>
              <c:numCache>
                <c:formatCode>General</c:formatCode>
                <c:ptCount val="12"/>
                <c:pt idx="0">
                  <c:v>0</c:v>
                </c:pt>
                <c:pt idx="1">
                  <c:v>0</c:v>
                </c:pt>
                <c:pt idx="2">
                  <c:v>115.0088355</c:v>
                </c:pt>
                <c:pt idx="3">
                  <c:v>0</c:v>
                </c:pt>
                <c:pt idx="4">
                  <c:v>0</c:v>
                </c:pt>
                <c:pt idx="5">
                  <c:v>55.561833</c:v>
                </c:pt>
                <c:pt idx="6">
                  <c:v>0</c:v>
                </c:pt>
                <c:pt idx="7">
                  <c:v>0</c:v>
                </c:pt>
                <c:pt idx="8">
                  <c:v>27.694444847269288</c:v>
                </c:pt>
                <c:pt idx="9">
                  <c:v>0</c:v>
                </c:pt>
                <c:pt idx="10">
                  <c:v>0</c:v>
                </c:pt>
                <c:pt idx="11">
                  <c:v>189.0667901690083</c:v>
                </c:pt>
              </c:numCache>
            </c:numRef>
          </c:val>
        </c:ser>
        <c:ser>
          <c:idx val="13"/>
          <c:order val="13"/>
          <c:tx>
            <c:strRef>
              <c:f>PIVOT2!$O$1:$O$2</c:f>
              <c:strCache>
                <c:ptCount val="1"/>
                <c:pt idx="0">
                  <c:v>Sum of Domestic Heat Pumps: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PIVOT2!$O$3:$O$19</c:f>
              <c:numCache>
                <c:formatCode>General</c:formatCode>
                <c:ptCount val="12"/>
                <c:pt idx="0">
                  <c:v>0</c:v>
                </c:pt>
                <c:pt idx="1">
                  <c:v>0</c:v>
                </c:pt>
                <c:pt idx="2">
                  <c:v>132.06983100012525</c:v>
                </c:pt>
                <c:pt idx="3">
                  <c:v>0</c:v>
                </c:pt>
                <c:pt idx="4">
                  <c:v>0</c:v>
                </c:pt>
                <c:pt idx="5">
                  <c:v>74.264772974068322</c:v>
                </c:pt>
                <c:pt idx="6">
                  <c:v>0</c:v>
                </c:pt>
                <c:pt idx="7">
                  <c:v>0</c:v>
                </c:pt>
                <c:pt idx="8">
                  <c:v>31.466726985146121</c:v>
                </c:pt>
                <c:pt idx="9">
                  <c:v>0</c:v>
                </c:pt>
                <c:pt idx="10">
                  <c:v>0</c:v>
                </c:pt>
                <c:pt idx="11">
                  <c:v>227.44238654881039</c:v>
                </c:pt>
              </c:numCache>
            </c:numRef>
          </c:val>
        </c:ser>
        <c:ser>
          <c:idx val="14"/>
          <c:order val="14"/>
          <c:tx>
            <c:strRef>
              <c:f>PIVOT2!$P$1:$P$2</c:f>
              <c:strCache>
                <c:ptCount val="1"/>
                <c:pt idx="0">
                  <c:v>Sum of Non-domestic heat pumps: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PIVOT2!$P$3:$P$19</c:f>
              <c:numCache>
                <c:formatCode>General</c:formatCode>
                <c:ptCount val="12"/>
                <c:pt idx="0">
                  <c:v>0</c:v>
                </c:pt>
                <c:pt idx="1">
                  <c:v>0</c:v>
                </c:pt>
                <c:pt idx="2">
                  <c:v>66.608850000000004</c:v>
                </c:pt>
                <c:pt idx="3">
                  <c:v>0</c:v>
                </c:pt>
                <c:pt idx="4">
                  <c:v>0</c:v>
                </c:pt>
                <c:pt idx="5">
                  <c:v>44.012430000000002</c:v>
                </c:pt>
                <c:pt idx="6">
                  <c:v>0</c:v>
                </c:pt>
                <c:pt idx="7">
                  <c:v>0</c:v>
                </c:pt>
                <c:pt idx="8">
                  <c:v>27.976878826570289</c:v>
                </c:pt>
                <c:pt idx="9">
                  <c:v>0</c:v>
                </c:pt>
                <c:pt idx="10">
                  <c:v>0</c:v>
                </c:pt>
                <c:pt idx="11">
                  <c:v>122.500171947417</c:v>
                </c:pt>
              </c:numCache>
            </c:numRef>
          </c:val>
        </c:ser>
        <c:ser>
          <c:idx val="15"/>
          <c:order val="15"/>
          <c:tx>
            <c:strRef>
              <c:f>PIVOT2!$Q$1:$Q$2</c:f>
              <c:strCache>
                <c:ptCount val="1"/>
                <c:pt idx="0">
                  <c:v>Sum of Micro Wind: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PIVOT2!$Q$3:$Q$19</c:f>
              <c:numCache>
                <c:formatCode>General</c:formatCode>
                <c:ptCount val="12"/>
                <c:pt idx="0">
                  <c:v>0</c:v>
                </c:pt>
                <c:pt idx="1">
                  <c:v>0</c:v>
                </c:pt>
                <c:pt idx="2">
                  <c:v>163.77726871556209</c:v>
                </c:pt>
                <c:pt idx="3">
                  <c:v>0</c:v>
                </c:pt>
                <c:pt idx="4">
                  <c:v>0</c:v>
                </c:pt>
                <c:pt idx="5">
                  <c:v>104.92195647900826</c:v>
                </c:pt>
                <c:pt idx="6">
                  <c:v>0</c:v>
                </c:pt>
                <c:pt idx="7">
                  <c:v>0</c:v>
                </c:pt>
                <c:pt idx="8">
                  <c:v>88.685451956017445</c:v>
                </c:pt>
                <c:pt idx="9">
                  <c:v>0</c:v>
                </c:pt>
                <c:pt idx="10">
                  <c:v>0</c:v>
                </c:pt>
                <c:pt idx="11">
                  <c:v>289.46577236234799</c:v>
                </c:pt>
              </c:numCache>
            </c:numRef>
          </c:val>
        </c:ser>
        <c:ser>
          <c:idx val="16"/>
          <c:order val="16"/>
          <c:tx>
            <c:strRef>
              <c:f>PIVOT2!$R$1:$R$2</c:f>
              <c:strCache>
                <c:ptCount val="1"/>
                <c:pt idx="0">
                  <c:v>Sum of Medium Scale Wind: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PIVOT2!$R$3:$R$19</c:f>
              <c:numCache>
                <c:formatCode>General</c:formatCode>
                <c:ptCount val="12"/>
                <c:pt idx="0">
                  <c:v>0</c:v>
                </c:pt>
                <c:pt idx="1">
                  <c:v>0</c:v>
                </c:pt>
                <c:pt idx="2">
                  <c:v>2.4000000000000004</c:v>
                </c:pt>
                <c:pt idx="3">
                  <c:v>0</c:v>
                </c:pt>
                <c:pt idx="4">
                  <c:v>0</c:v>
                </c:pt>
                <c:pt idx="5">
                  <c:v>1.2000000000000002</c:v>
                </c:pt>
                <c:pt idx="6">
                  <c:v>0</c:v>
                </c:pt>
                <c:pt idx="7">
                  <c:v>0</c:v>
                </c:pt>
                <c:pt idx="8">
                  <c:v>1.2000000000000002</c:v>
                </c:pt>
                <c:pt idx="9">
                  <c:v>0</c:v>
                </c:pt>
                <c:pt idx="10">
                  <c:v>0</c:v>
                </c:pt>
                <c:pt idx="11">
                  <c:v>4</c:v>
                </c:pt>
              </c:numCache>
            </c:numRef>
          </c:val>
        </c:ser>
        <c:ser>
          <c:idx val="17"/>
          <c:order val="17"/>
          <c:tx>
            <c:strRef>
              <c:f>PIVOT2!$S$1:$S$2</c:f>
              <c:strCache>
                <c:ptCount val="1"/>
                <c:pt idx="0">
                  <c:v>Sum of Large Scale Wind: Energy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PIVOT2!$S$3:$S$19</c:f>
              <c:numCache>
                <c:formatCode>General</c:formatCode>
                <c:ptCount val="12"/>
                <c:pt idx="0">
                  <c:v>0</c:v>
                </c:pt>
                <c:pt idx="1">
                  <c:v>0</c:v>
                </c:pt>
                <c:pt idx="2">
                  <c:v>325</c:v>
                </c:pt>
                <c:pt idx="3">
                  <c:v>0</c:v>
                </c:pt>
                <c:pt idx="4">
                  <c:v>0</c:v>
                </c:pt>
                <c:pt idx="5">
                  <c:v>966</c:v>
                </c:pt>
                <c:pt idx="6">
                  <c:v>0</c:v>
                </c:pt>
                <c:pt idx="7">
                  <c:v>0</c:v>
                </c:pt>
                <c:pt idx="8">
                  <c:v>0</c:v>
                </c:pt>
                <c:pt idx="9">
                  <c:v>0</c:v>
                </c:pt>
                <c:pt idx="10">
                  <c:v>0</c:v>
                </c:pt>
                <c:pt idx="11">
                  <c:v>1291</c:v>
                </c:pt>
              </c:numCache>
            </c:numRef>
          </c:val>
        </c:ser>
        <c:ser>
          <c:idx val="18"/>
          <c:order val="18"/>
          <c:tx>
            <c:strRef>
              <c:f>PIVOT2!$T$1:$T$2</c:f>
              <c:strCache>
                <c:ptCount val="1"/>
                <c:pt idx="0">
                  <c:v>Sum of Non-Domestic Demand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PIVOT2!$T$3:$T$19</c:f>
              <c:numCache>
                <c:formatCode>General</c:formatCode>
                <c:ptCount val="12"/>
                <c:pt idx="0">
                  <c:v>746.56802349365762</c:v>
                </c:pt>
                <c:pt idx="1">
                  <c:v>663.41719138240205</c:v>
                </c:pt>
                <c:pt idx="2">
                  <c:v>0</c:v>
                </c:pt>
                <c:pt idx="3">
                  <c:v>481.29555971417284</c:v>
                </c:pt>
                <c:pt idx="4">
                  <c:v>421.50552191840131</c:v>
                </c:pt>
                <c:pt idx="5">
                  <c:v>0</c:v>
                </c:pt>
                <c:pt idx="6">
                  <c:v>206.12075088932974</c:v>
                </c:pt>
                <c:pt idx="7">
                  <c:v>182.74673498132245</c:v>
                </c:pt>
                <c:pt idx="8">
                  <c:v>0</c:v>
                </c:pt>
                <c:pt idx="9">
                  <c:v>1319.9389523037294</c:v>
                </c:pt>
                <c:pt idx="10">
                  <c:v>1166.1331198592256</c:v>
                </c:pt>
                <c:pt idx="11">
                  <c:v>0</c:v>
                </c:pt>
              </c:numCache>
            </c:numRef>
          </c:val>
        </c:ser>
        <c:ser>
          <c:idx val="19"/>
          <c:order val="19"/>
          <c:tx>
            <c:strRef>
              <c:f>PIVOT2!$U$1:$U$2</c:f>
              <c:strCache>
                <c:ptCount val="1"/>
                <c:pt idx="0">
                  <c:v>Sum of Domestic Demand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PIVOT2!$U$3:$U$19</c:f>
              <c:numCache>
                <c:formatCode>General</c:formatCode>
                <c:ptCount val="12"/>
                <c:pt idx="0">
                  <c:v>770.09279297918067</c:v>
                </c:pt>
                <c:pt idx="1">
                  <c:v>657.70199429400918</c:v>
                </c:pt>
                <c:pt idx="2">
                  <c:v>0</c:v>
                </c:pt>
                <c:pt idx="3">
                  <c:v>504.09301602345636</c:v>
                </c:pt>
                <c:pt idx="4">
                  <c:v>427.49714714142192</c:v>
                </c:pt>
                <c:pt idx="5">
                  <c:v>0</c:v>
                </c:pt>
                <c:pt idx="6">
                  <c:v>319.62377265831788</c:v>
                </c:pt>
                <c:pt idx="7">
                  <c:v>271.67733401058899</c:v>
                </c:pt>
                <c:pt idx="8">
                  <c:v>0</c:v>
                </c:pt>
                <c:pt idx="9">
                  <c:v>1404.2105660864174</c:v>
                </c:pt>
                <c:pt idx="10">
                  <c:v>1195.8126254289675</c:v>
                </c:pt>
                <c:pt idx="11">
                  <c:v>0</c:v>
                </c:pt>
              </c:numCache>
            </c:numRef>
          </c:val>
        </c:ser>
        <c:ser>
          <c:idx val="20"/>
          <c:order val="20"/>
          <c:tx>
            <c:strRef>
              <c:f>PIVOT2!$V$1:$V$2</c:f>
              <c:strCache>
                <c:ptCount val="1"/>
                <c:pt idx="0">
                  <c:v>Sum of Transport Demand (GWh)</c:v>
                </c:pt>
              </c:strCache>
            </c:strRef>
          </c:tx>
          <c:cat>
            <c:multiLvlStrRef>
              <c:f>PIVOT2!$A$3:$A$19</c:f>
              <c:multiLvlStrCache>
                <c:ptCount val="12"/>
                <c:lvl>
                  <c:pt idx="0">
                    <c:v>Current Demand</c:v>
                  </c:pt>
                  <c:pt idx="1">
                    <c:v>2022 Demand Govt. Policy</c:v>
                  </c:pt>
                  <c:pt idx="2">
                    <c:v>Potential Supply</c:v>
                  </c:pt>
                  <c:pt idx="3">
                    <c:v>Current Demand</c:v>
                  </c:pt>
                  <c:pt idx="4">
                    <c:v>2022 Demand Govt. Policy</c:v>
                  </c:pt>
                  <c:pt idx="5">
                    <c:v>Potential Supply</c:v>
                  </c:pt>
                  <c:pt idx="6">
                    <c:v>Current Demand</c:v>
                  </c:pt>
                  <c:pt idx="7">
                    <c:v>2022 Demand Govt. Policy</c:v>
                  </c:pt>
                  <c:pt idx="8">
                    <c:v>Potential Supply</c:v>
                  </c:pt>
                  <c:pt idx="9">
                    <c:v>Current Demand</c:v>
                  </c:pt>
                  <c:pt idx="10">
                    <c:v>2022 Demand Govt. Policy</c:v>
                  </c:pt>
                  <c:pt idx="11">
                    <c:v>Potential Supply</c:v>
                  </c:pt>
                </c:lvl>
                <c:lvl>
                  <c:pt idx="0">
                    <c:v>South Hams</c:v>
                  </c:pt>
                  <c:pt idx="3">
                    <c:v>West Devon</c:v>
                  </c:pt>
                  <c:pt idx="6">
                    <c:v>Dartmoor</c:v>
                  </c:pt>
                  <c:pt idx="9">
                    <c:v>SW Devon Area</c:v>
                  </c:pt>
                </c:lvl>
              </c:multiLvlStrCache>
            </c:multiLvlStrRef>
          </c:cat>
          <c:val>
            <c:numRef>
              <c:f>PIVOT2!$V$3:$V$19</c:f>
              <c:numCache>
                <c:formatCode>General</c:formatCode>
                <c:ptCount val="12"/>
                <c:pt idx="0">
                  <c:v>804.40634144452395</c:v>
                </c:pt>
                <c:pt idx="1">
                  <c:v>710.27368446697312</c:v>
                </c:pt>
                <c:pt idx="2">
                  <c:v>0</c:v>
                </c:pt>
                <c:pt idx="3">
                  <c:v>677.57991989263303</c:v>
                </c:pt>
                <c:pt idx="4">
                  <c:v>598.28865267115464</c:v>
                </c:pt>
                <c:pt idx="5">
                  <c:v>0</c:v>
                </c:pt>
                <c:pt idx="6">
                  <c:v>421.47293519433288</c:v>
                </c:pt>
                <c:pt idx="7">
                  <c:v>372.15163426733642</c:v>
                </c:pt>
                <c:pt idx="8">
                  <c:v>0</c:v>
                </c:pt>
                <c:pt idx="9">
                  <c:v>1640.2051523233504</c:v>
                </c:pt>
                <c:pt idx="10">
                  <c:v>1448.2662515195541</c:v>
                </c:pt>
                <c:pt idx="11">
                  <c:v>0</c:v>
                </c:pt>
              </c:numCache>
            </c:numRef>
          </c:val>
        </c:ser>
        <c:overlap val="100"/>
        <c:axId val="119313152"/>
        <c:axId val="119314688"/>
      </c:barChart>
      <c:catAx>
        <c:axId val="119313152"/>
        <c:scaling>
          <c:orientation val="minMax"/>
        </c:scaling>
        <c:axPos val="b"/>
        <c:tickLblPos val="nextTo"/>
        <c:crossAx val="119314688"/>
        <c:crosses val="autoZero"/>
        <c:auto val="1"/>
        <c:lblAlgn val="ctr"/>
        <c:lblOffset val="100"/>
      </c:catAx>
      <c:valAx>
        <c:axId val="119314688"/>
        <c:scaling>
          <c:orientation val="minMax"/>
        </c:scaling>
        <c:axPos val="l"/>
        <c:majorGridlines/>
        <c:title>
          <c:tx>
            <c:rich>
              <a:bodyPr rot="-5400000" vert="horz"/>
              <a:lstStyle/>
              <a:p>
                <a:pPr>
                  <a:defRPr/>
                </a:pPr>
                <a:r>
                  <a:rPr lang="en-GB"/>
                  <a:t>Total Annual Energy (GWh)</a:t>
                </a:r>
              </a:p>
            </c:rich>
          </c:tx>
          <c:layout/>
        </c:title>
        <c:numFmt formatCode="General" sourceLinked="1"/>
        <c:tickLblPos val="nextTo"/>
        <c:crossAx val="119313152"/>
        <c:crosses val="autoZero"/>
        <c:crossBetween val="between"/>
      </c:valAx>
    </c:plotArea>
    <c:legend>
      <c:legendPos val="r"/>
      <c:layout/>
    </c:legend>
    <c:plotVisOnly val="1"/>
  </c:chart>
  <c:spPr>
    <a:ln>
      <a:noFill/>
    </a:ln>
  </c:spPr>
  <c:txPr>
    <a:bodyPr/>
    <a:lstStyle/>
    <a:p>
      <a:pPr>
        <a:defRPr sz="1000"/>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GB"/>
  <c:pivotSource>
    <c:name>[SWDCEP Workbook3 Renewable Energy.xlsx]PIVOT3!PivotTable1</c:name>
    <c:fmtId val="1"/>
  </c:pivotSource>
  <c:chart>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spPr>
          <a:noFill/>
          <a:ln w="25400">
            <a:solidFill>
              <a:schemeClr val="accent1">
                <a:lumMod val="75000"/>
              </a:schemeClr>
            </a:solidFill>
          </a:ln>
        </c:spPr>
        <c:marker>
          <c:symbol val="none"/>
        </c:marker>
      </c:pivotFmt>
      <c:pivotFmt>
        <c:idx val="24"/>
        <c:spPr>
          <a:noFill/>
          <a:ln w="25400">
            <a:solidFill>
              <a:schemeClr val="accent2">
                <a:lumMod val="75000"/>
              </a:schemeClr>
            </a:solidFill>
          </a:ln>
        </c:spPr>
        <c:marker>
          <c:symbol val="none"/>
        </c:marker>
      </c:pivotFmt>
      <c:pivotFmt>
        <c:idx val="25"/>
        <c:spPr>
          <a:noFill/>
          <a:ln w="25400">
            <a:solidFill>
              <a:schemeClr val="accent3">
                <a:lumMod val="75000"/>
              </a:schemeClr>
            </a:solidFill>
          </a:ln>
        </c:spPr>
        <c:marker>
          <c:symbol val="none"/>
        </c:marker>
      </c:pivotFmt>
      <c:pivotFmt>
        <c:idx val="26"/>
        <c:spPr>
          <a:solidFill>
            <a:schemeClr val="accent1">
              <a:lumMod val="75000"/>
            </a:schemeClr>
          </a:solidFill>
        </c:spPr>
        <c:marker>
          <c:symbol val="none"/>
        </c:marker>
      </c:pivotFmt>
      <c:pivotFmt>
        <c:idx val="27"/>
        <c:spPr>
          <a:solidFill>
            <a:schemeClr val="accent2">
              <a:lumMod val="75000"/>
            </a:schemeClr>
          </a:solidFill>
        </c:spPr>
        <c:marker>
          <c:symbol val="none"/>
        </c:marker>
      </c:pivotFmt>
      <c:pivotFmt>
        <c:idx val="28"/>
        <c:spPr>
          <a:solidFill>
            <a:schemeClr val="accent3">
              <a:lumMod val="75000"/>
            </a:schemeClr>
          </a:solidFill>
        </c:spPr>
        <c:marker>
          <c:symbol val="none"/>
        </c:marker>
      </c:pivotFmt>
      <c:pivotFmt>
        <c:idx val="29"/>
        <c:spPr>
          <a:solidFill>
            <a:srgbClr val="4F81BD">
              <a:lumMod val="75000"/>
              <a:alpha val="50000"/>
            </a:srgbClr>
          </a:solidFill>
        </c:spPr>
        <c:marker>
          <c:symbol val="none"/>
        </c:marker>
      </c:pivotFmt>
      <c:pivotFmt>
        <c:idx val="30"/>
        <c:spPr>
          <a:solidFill>
            <a:srgbClr val="C0504D">
              <a:lumMod val="75000"/>
              <a:alpha val="50000"/>
            </a:srgbClr>
          </a:solidFill>
        </c:spPr>
        <c:marker>
          <c:symbol val="none"/>
        </c:marker>
      </c:pivotFmt>
      <c:pivotFmt>
        <c:idx val="31"/>
        <c:spPr>
          <a:solidFill>
            <a:srgbClr val="9BBB59">
              <a:lumMod val="75000"/>
              <a:alpha val="50000"/>
            </a:srgbClr>
          </a:solidFill>
        </c:spPr>
        <c:marker>
          <c:symbol val="none"/>
        </c:marker>
      </c:pivotFmt>
      <c:pivotFmt>
        <c:idx val="32"/>
        <c:marker>
          <c:symbol val="none"/>
        </c:marker>
      </c:pivotFmt>
    </c:pivotFmts>
    <c:plotArea>
      <c:layout/>
      <c:barChart>
        <c:barDir val="col"/>
        <c:grouping val="stacked"/>
        <c:ser>
          <c:idx val="0"/>
          <c:order val="0"/>
          <c:tx>
            <c:strRef>
              <c:f>PIVOT3!$B$1:$B$2</c:f>
              <c:strCache>
                <c:ptCount val="1"/>
                <c:pt idx="0">
                  <c:v>Sum of Hydro: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PIVOT3!$B$3:$B$15</c:f>
              <c:numCache>
                <c:formatCode>General</c:formatCode>
                <c:ptCount val="8"/>
                <c:pt idx="0">
                  <c:v>0</c:v>
                </c:pt>
                <c:pt idx="1">
                  <c:v>6.5318310876632264</c:v>
                </c:pt>
                <c:pt idx="2">
                  <c:v>0</c:v>
                </c:pt>
                <c:pt idx="3">
                  <c:v>21.853072153325819</c:v>
                </c:pt>
                <c:pt idx="4">
                  <c:v>0</c:v>
                </c:pt>
                <c:pt idx="5">
                  <c:v>16.979416009019168</c:v>
                </c:pt>
                <c:pt idx="6">
                  <c:v>0</c:v>
                </c:pt>
                <c:pt idx="7">
                  <c:v>28.432355326671118</c:v>
                </c:pt>
              </c:numCache>
            </c:numRef>
          </c:val>
        </c:ser>
        <c:ser>
          <c:idx val="1"/>
          <c:order val="1"/>
          <c:tx>
            <c:strRef>
              <c:f>PIVOT3!$C$1:$C$2</c:f>
              <c:strCache>
                <c:ptCount val="1"/>
                <c:pt idx="0">
                  <c:v>Sum of Geothermal: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PIVOT3!$C$3:$C$15</c:f>
              <c:numCache>
                <c:formatCode>General</c:formatCode>
                <c:ptCount val="8"/>
                <c:pt idx="0">
                  <c:v>0</c:v>
                </c:pt>
                <c:pt idx="1">
                  <c:v>0</c:v>
                </c:pt>
                <c:pt idx="2">
                  <c:v>0</c:v>
                </c:pt>
                <c:pt idx="3">
                  <c:v>0</c:v>
                </c:pt>
                <c:pt idx="4">
                  <c:v>0</c:v>
                </c:pt>
                <c:pt idx="5">
                  <c:v>169.04062500000001</c:v>
                </c:pt>
                <c:pt idx="6">
                  <c:v>0</c:v>
                </c:pt>
                <c:pt idx="7">
                  <c:v>169.04062500000001</c:v>
                </c:pt>
              </c:numCache>
            </c:numRef>
          </c:val>
        </c:ser>
        <c:ser>
          <c:idx val="2"/>
          <c:order val="2"/>
          <c:tx>
            <c:strRef>
              <c:f>PIVOT3!$D$1:$D$2</c:f>
              <c:strCache>
                <c:ptCount val="1"/>
                <c:pt idx="0">
                  <c:v>Sum of Clean Wood: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PIVOT3!$D$3:$D$15</c:f>
              <c:numCache>
                <c:formatCode>General</c:formatCode>
                <c:ptCount val="8"/>
                <c:pt idx="0">
                  <c:v>0</c:v>
                </c:pt>
                <c:pt idx="1">
                  <c:v>90.244514404768196</c:v>
                </c:pt>
                <c:pt idx="2">
                  <c:v>0</c:v>
                </c:pt>
                <c:pt idx="3">
                  <c:v>120.41189130982447</c:v>
                </c:pt>
                <c:pt idx="4">
                  <c:v>0</c:v>
                </c:pt>
                <c:pt idx="5">
                  <c:v>99.027184575314791</c:v>
                </c:pt>
                <c:pt idx="6">
                  <c:v>0</c:v>
                </c:pt>
                <c:pt idx="7">
                  <c:v>252.56778199820346</c:v>
                </c:pt>
              </c:numCache>
            </c:numRef>
          </c:val>
        </c:ser>
        <c:ser>
          <c:idx val="3"/>
          <c:order val="3"/>
          <c:tx>
            <c:strRef>
              <c:f>PIVOT3!$E$1:$E$2</c:f>
              <c:strCache>
                <c:ptCount val="1"/>
                <c:pt idx="0">
                  <c:v>Sum of Treated Wood: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PIVOT3!$E$3:$E$15</c:f>
              <c:numCache>
                <c:formatCode>General</c:formatCode>
                <c:ptCount val="8"/>
                <c:pt idx="0">
                  <c:v>0</c:v>
                </c:pt>
                <c:pt idx="1">
                  <c:v>10.8965</c:v>
                </c:pt>
                <c:pt idx="2">
                  <c:v>0</c:v>
                </c:pt>
                <c:pt idx="3">
                  <c:v>5.9089999999999998</c:v>
                </c:pt>
                <c:pt idx="4">
                  <c:v>0</c:v>
                </c:pt>
                <c:pt idx="5">
                  <c:v>3.1682896413222452</c:v>
                </c:pt>
                <c:pt idx="6">
                  <c:v>0</c:v>
                </c:pt>
                <c:pt idx="7">
                  <c:v>18.128833975198337</c:v>
                </c:pt>
              </c:numCache>
            </c:numRef>
          </c:val>
        </c:ser>
        <c:ser>
          <c:idx val="4"/>
          <c:order val="4"/>
          <c:tx>
            <c:strRef>
              <c:f>PIVOT3!$F$1:$F$2</c:f>
              <c:strCache>
                <c:ptCount val="1"/>
                <c:pt idx="0">
                  <c:v>Sum of Wet Biomass: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PIVOT3!$F$3:$F$15</c:f>
              <c:numCache>
                <c:formatCode>General</c:formatCode>
                <c:ptCount val="8"/>
                <c:pt idx="0">
                  <c:v>0</c:v>
                </c:pt>
                <c:pt idx="1">
                  <c:v>9.5940549833333328</c:v>
                </c:pt>
                <c:pt idx="2">
                  <c:v>0</c:v>
                </c:pt>
                <c:pt idx="3">
                  <c:v>9.6118395022222227</c:v>
                </c:pt>
                <c:pt idx="4">
                  <c:v>0</c:v>
                </c:pt>
                <c:pt idx="5">
                  <c:v>1.1636176791060595</c:v>
                </c:pt>
                <c:pt idx="6">
                  <c:v>0</c:v>
                </c:pt>
                <c:pt idx="7">
                  <c:v>19.691912081116293</c:v>
                </c:pt>
              </c:numCache>
            </c:numRef>
          </c:val>
        </c:ser>
        <c:ser>
          <c:idx val="5"/>
          <c:order val="5"/>
          <c:tx>
            <c:strRef>
              <c:f>PIVOT3!$G$1:$G$2</c:f>
              <c:strCache>
                <c:ptCount val="1"/>
                <c:pt idx="0">
                  <c:v>Sum of Residual Waste: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PIVOT3!$G$3:$G$15</c:f>
              <c:numCache>
                <c:formatCode>General</c:formatCode>
                <c:ptCount val="8"/>
                <c:pt idx="0">
                  <c:v>0</c:v>
                </c:pt>
                <c:pt idx="1">
                  <c:v>25.40722717212417</c:v>
                </c:pt>
                <c:pt idx="2">
                  <c:v>0</c:v>
                </c:pt>
                <c:pt idx="3">
                  <c:v>16.102945349299134</c:v>
                </c:pt>
                <c:pt idx="4">
                  <c:v>0</c:v>
                </c:pt>
                <c:pt idx="5">
                  <c:v>11.633353281982759</c:v>
                </c:pt>
                <c:pt idx="6">
                  <c:v>0</c:v>
                </c:pt>
                <c:pt idx="7">
                  <c:v>46.323782057565609</c:v>
                </c:pt>
              </c:numCache>
            </c:numRef>
          </c:val>
        </c:ser>
        <c:ser>
          <c:idx val="6"/>
          <c:order val="6"/>
          <c:tx>
            <c:strRef>
              <c:f>PIVOT3!$H$1:$H$2</c:f>
              <c:strCache>
                <c:ptCount val="1"/>
                <c:pt idx="0">
                  <c:v>Sum of PV Farms: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PIVOT3!$H$3:$H$15</c:f>
              <c:numCache>
                <c:formatCode>General</c:formatCode>
                <c:ptCount val="8"/>
                <c:pt idx="0">
                  <c:v>0</c:v>
                </c:pt>
                <c:pt idx="1">
                  <c:v>75.097766355140195</c:v>
                </c:pt>
                <c:pt idx="2">
                  <c:v>0</c:v>
                </c:pt>
                <c:pt idx="3">
                  <c:v>105.13687289719627</c:v>
                </c:pt>
                <c:pt idx="4">
                  <c:v>0</c:v>
                </c:pt>
                <c:pt idx="5">
                  <c:v>0</c:v>
                </c:pt>
                <c:pt idx="6">
                  <c:v>0</c:v>
                </c:pt>
                <c:pt idx="7">
                  <c:v>180.23463925233648</c:v>
                </c:pt>
              </c:numCache>
            </c:numRef>
          </c:val>
        </c:ser>
        <c:ser>
          <c:idx val="7"/>
          <c:order val="7"/>
          <c:tx>
            <c:strRef>
              <c:f>PIVOT3!$I$1:$I$2</c:f>
              <c:strCache>
                <c:ptCount val="1"/>
                <c:pt idx="0">
                  <c:v>Sum of Domestic PV: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PIVOT3!$I$3:$I$15</c:f>
              <c:numCache>
                <c:formatCode>General</c:formatCode>
                <c:ptCount val="8"/>
                <c:pt idx="0">
                  <c:v>0</c:v>
                </c:pt>
                <c:pt idx="1">
                  <c:v>19.693928100000001</c:v>
                </c:pt>
                <c:pt idx="2">
                  <c:v>0</c:v>
                </c:pt>
                <c:pt idx="3">
                  <c:v>13.6393775</c:v>
                </c:pt>
                <c:pt idx="4">
                  <c:v>0</c:v>
                </c:pt>
                <c:pt idx="5">
                  <c:v>7.3957032636543207</c:v>
                </c:pt>
                <c:pt idx="6">
                  <c:v>0</c:v>
                </c:pt>
                <c:pt idx="7">
                  <c:v>36.921649044784921</c:v>
                </c:pt>
              </c:numCache>
            </c:numRef>
          </c:val>
        </c:ser>
        <c:ser>
          <c:idx val="8"/>
          <c:order val="8"/>
          <c:tx>
            <c:strRef>
              <c:f>PIVOT3!$J$1:$J$2</c:f>
              <c:strCache>
                <c:ptCount val="1"/>
                <c:pt idx="0">
                  <c:v>Sum of Non-domestic PV: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PIVOT3!$J$3:$J$15</c:f>
              <c:numCache>
                <c:formatCode>General</c:formatCode>
                <c:ptCount val="8"/>
                <c:pt idx="0">
                  <c:v>0</c:v>
                </c:pt>
                <c:pt idx="1">
                  <c:v>10.7408</c:v>
                </c:pt>
                <c:pt idx="2">
                  <c:v>0</c:v>
                </c:pt>
                <c:pt idx="3">
                  <c:v>6.6842299999999994</c:v>
                </c:pt>
                <c:pt idx="4">
                  <c:v>0</c:v>
                </c:pt>
                <c:pt idx="5">
                  <c:v>4.1662905208869665</c:v>
                </c:pt>
                <c:pt idx="6">
                  <c:v>0</c:v>
                </c:pt>
                <c:pt idx="7">
                  <c:v>19.366211125921666</c:v>
                </c:pt>
              </c:numCache>
            </c:numRef>
          </c:val>
        </c:ser>
        <c:ser>
          <c:idx val="9"/>
          <c:order val="9"/>
          <c:tx>
            <c:strRef>
              <c:f>PIVOT3!$K$1:$K$2</c:f>
              <c:strCache>
                <c:ptCount val="1"/>
                <c:pt idx="0">
                  <c:v>Sum of Domestic SWH: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PIVOT3!$K$3:$K$15</c:f>
              <c:numCache>
                <c:formatCode>General</c:formatCode>
                <c:ptCount val="8"/>
                <c:pt idx="0">
                  <c:v>0</c:v>
                </c:pt>
                <c:pt idx="1">
                  <c:v>12.915043199999998</c:v>
                </c:pt>
                <c:pt idx="2">
                  <c:v>0</c:v>
                </c:pt>
                <c:pt idx="3">
                  <c:v>7.9628399999999999</c:v>
                </c:pt>
                <c:pt idx="4">
                  <c:v>0</c:v>
                </c:pt>
                <c:pt idx="5">
                  <c:v>4.9489730627413442</c:v>
                </c:pt>
                <c:pt idx="6">
                  <c:v>0</c:v>
                </c:pt>
                <c:pt idx="7">
                  <c:v>23.044585396147308</c:v>
                </c:pt>
              </c:numCache>
            </c:numRef>
          </c:val>
        </c:ser>
        <c:ser>
          <c:idx val="10"/>
          <c:order val="10"/>
          <c:tx>
            <c:strRef>
              <c:f>PIVOT3!$L$1:$L$2</c:f>
              <c:strCache>
                <c:ptCount val="1"/>
                <c:pt idx="0">
                  <c:v>Sum of Non-domestic SWH: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PIVOT3!$L$3:$L$15</c:f>
              <c:numCache>
                <c:formatCode>General</c:formatCode>
                <c:ptCount val="8"/>
                <c:pt idx="0">
                  <c:v>0</c:v>
                </c:pt>
                <c:pt idx="1">
                  <c:v>1.8781440000000005</c:v>
                </c:pt>
                <c:pt idx="2">
                  <c:v>0</c:v>
                </c:pt>
                <c:pt idx="3">
                  <c:v>0.89702400000000015</c:v>
                </c:pt>
                <c:pt idx="4">
                  <c:v>0</c:v>
                </c:pt>
                <c:pt idx="5">
                  <c:v>0.55102053315732513</c:v>
                </c:pt>
                <c:pt idx="6">
                  <c:v>0</c:v>
                </c:pt>
                <c:pt idx="7">
                  <c:v>3.1012513940667055</c:v>
                </c:pt>
              </c:numCache>
            </c:numRef>
          </c:val>
        </c:ser>
        <c:ser>
          <c:idx val="11"/>
          <c:order val="11"/>
          <c:tx>
            <c:strRef>
              <c:f>PIVOT3!$M$1:$M$2</c:f>
              <c:strCache>
                <c:ptCount val="1"/>
                <c:pt idx="0">
                  <c:v>Sum of Domestic biomass: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PIVOT3!$M$3:$M$15</c:f>
              <c:numCache>
                <c:formatCode>General</c:formatCode>
                <c:ptCount val="8"/>
                <c:pt idx="0">
                  <c:v>0</c:v>
                </c:pt>
                <c:pt idx="1">
                  <c:v>167.52621188131283</c:v>
                </c:pt>
                <c:pt idx="2">
                  <c:v>0</c:v>
                </c:pt>
                <c:pt idx="3">
                  <c:v>119.1859207969119</c:v>
                </c:pt>
                <c:pt idx="4">
                  <c:v>0</c:v>
                </c:pt>
                <c:pt idx="5">
                  <c:v>78.305029341619303</c:v>
                </c:pt>
                <c:pt idx="6">
                  <c:v>0</c:v>
                </c:pt>
                <c:pt idx="7">
                  <c:v>316.96860093317292</c:v>
                </c:pt>
              </c:numCache>
            </c:numRef>
          </c:val>
        </c:ser>
        <c:ser>
          <c:idx val="12"/>
          <c:order val="12"/>
          <c:tx>
            <c:strRef>
              <c:f>PIVOT3!$N$1:$N$2</c:f>
              <c:strCache>
                <c:ptCount val="1"/>
                <c:pt idx="0">
                  <c:v>Sum of Non-domestic biomass: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PIVOT3!$N$3:$N$15</c:f>
              <c:numCache>
                <c:formatCode>General</c:formatCode>
                <c:ptCount val="8"/>
                <c:pt idx="0">
                  <c:v>0</c:v>
                </c:pt>
                <c:pt idx="1">
                  <c:v>115.0088355</c:v>
                </c:pt>
                <c:pt idx="2">
                  <c:v>0</c:v>
                </c:pt>
                <c:pt idx="3">
                  <c:v>55.561833</c:v>
                </c:pt>
                <c:pt idx="4">
                  <c:v>0</c:v>
                </c:pt>
                <c:pt idx="5">
                  <c:v>27.694444847269288</c:v>
                </c:pt>
                <c:pt idx="6">
                  <c:v>0</c:v>
                </c:pt>
                <c:pt idx="7">
                  <c:v>189.0667901690083</c:v>
                </c:pt>
              </c:numCache>
            </c:numRef>
          </c:val>
        </c:ser>
        <c:ser>
          <c:idx val="13"/>
          <c:order val="13"/>
          <c:tx>
            <c:strRef>
              <c:f>PIVOT3!$O$1:$O$2</c:f>
              <c:strCache>
                <c:ptCount val="1"/>
                <c:pt idx="0">
                  <c:v>Sum of Domestic Heat Pumps: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PIVOT3!$O$3:$O$15</c:f>
              <c:numCache>
                <c:formatCode>General</c:formatCode>
                <c:ptCount val="8"/>
                <c:pt idx="0">
                  <c:v>0</c:v>
                </c:pt>
                <c:pt idx="1">
                  <c:v>132.06983100012525</c:v>
                </c:pt>
                <c:pt idx="2">
                  <c:v>0</c:v>
                </c:pt>
                <c:pt idx="3">
                  <c:v>74.264772974068322</c:v>
                </c:pt>
                <c:pt idx="4">
                  <c:v>0</c:v>
                </c:pt>
                <c:pt idx="5">
                  <c:v>31.466726985146121</c:v>
                </c:pt>
                <c:pt idx="6">
                  <c:v>0</c:v>
                </c:pt>
                <c:pt idx="7">
                  <c:v>227.44238654881039</c:v>
                </c:pt>
              </c:numCache>
            </c:numRef>
          </c:val>
        </c:ser>
        <c:ser>
          <c:idx val="14"/>
          <c:order val="14"/>
          <c:tx>
            <c:strRef>
              <c:f>PIVOT3!$P$1:$P$2</c:f>
              <c:strCache>
                <c:ptCount val="1"/>
                <c:pt idx="0">
                  <c:v>Sum of Non-domestic heat pumps: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PIVOT3!$P$3:$P$15</c:f>
              <c:numCache>
                <c:formatCode>General</c:formatCode>
                <c:ptCount val="8"/>
                <c:pt idx="0">
                  <c:v>0</c:v>
                </c:pt>
                <c:pt idx="1">
                  <c:v>66.608850000000004</c:v>
                </c:pt>
                <c:pt idx="2">
                  <c:v>0</c:v>
                </c:pt>
                <c:pt idx="3">
                  <c:v>44.012430000000002</c:v>
                </c:pt>
                <c:pt idx="4">
                  <c:v>0</c:v>
                </c:pt>
                <c:pt idx="5">
                  <c:v>27.976878826570289</c:v>
                </c:pt>
                <c:pt idx="6">
                  <c:v>0</c:v>
                </c:pt>
                <c:pt idx="7">
                  <c:v>122.500171947417</c:v>
                </c:pt>
              </c:numCache>
            </c:numRef>
          </c:val>
        </c:ser>
        <c:ser>
          <c:idx val="15"/>
          <c:order val="15"/>
          <c:tx>
            <c:strRef>
              <c:f>PIVOT3!$Q$1:$Q$2</c:f>
              <c:strCache>
                <c:ptCount val="1"/>
                <c:pt idx="0">
                  <c:v>Sum of Micro Wind: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PIVOT3!$Q$3:$Q$15</c:f>
              <c:numCache>
                <c:formatCode>General</c:formatCode>
                <c:ptCount val="8"/>
                <c:pt idx="0">
                  <c:v>0</c:v>
                </c:pt>
                <c:pt idx="1">
                  <c:v>163.77726871556209</c:v>
                </c:pt>
                <c:pt idx="2">
                  <c:v>0</c:v>
                </c:pt>
                <c:pt idx="3">
                  <c:v>104.92195647900826</c:v>
                </c:pt>
                <c:pt idx="4">
                  <c:v>0</c:v>
                </c:pt>
                <c:pt idx="5">
                  <c:v>88.685451956017445</c:v>
                </c:pt>
                <c:pt idx="6">
                  <c:v>0</c:v>
                </c:pt>
                <c:pt idx="7">
                  <c:v>289.46577236234799</c:v>
                </c:pt>
              </c:numCache>
            </c:numRef>
          </c:val>
        </c:ser>
        <c:ser>
          <c:idx val="16"/>
          <c:order val="16"/>
          <c:tx>
            <c:strRef>
              <c:f>PIVOT3!$R$1:$R$2</c:f>
              <c:strCache>
                <c:ptCount val="1"/>
                <c:pt idx="0">
                  <c:v>Sum of Medium Scale Wind: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PIVOT3!$R$3:$R$15</c:f>
              <c:numCache>
                <c:formatCode>General</c:formatCode>
                <c:ptCount val="8"/>
                <c:pt idx="0">
                  <c:v>0</c:v>
                </c:pt>
                <c:pt idx="1">
                  <c:v>2.4000000000000004</c:v>
                </c:pt>
                <c:pt idx="2">
                  <c:v>0</c:v>
                </c:pt>
                <c:pt idx="3">
                  <c:v>1.2000000000000002</c:v>
                </c:pt>
                <c:pt idx="4">
                  <c:v>0</c:v>
                </c:pt>
                <c:pt idx="5">
                  <c:v>1.2000000000000002</c:v>
                </c:pt>
                <c:pt idx="6">
                  <c:v>0</c:v>
                </c:pt>
                <c:pt idx="7">
                  <c:v>4</c:v>
                </c:pt>
              </c:numCache>
            </c:numRef>
          </c:val>
        </c:ser>
        <c:ser>
          <c:idx val="17"/>
          <c:order val="17"/>
          <c:tx>
            <c:strRef>
              <c:f>PIVOT3!$S$1:$S$2</c:f>
              <c:strCache>
                <c:ptCount val="1"/>
                <c:pt idx="0">
                  <c:v>Sum of Large Scale Wind: Energy (GWh)</c:v>
                </c:pt>
              </c:strCache>
            </c:strRef>
          </c:tx>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PIVOT3!$S$3:$S$15</c:f>
              <c:numCache>
                <c:formatCode>General</c:formatCode>
                <c:ptCount val="8"/>
                <c:pt idx="0">
                  <c:v>0</c:v>
                </c:pt>
                <c:pt idx="1">
                  <c:v>325</c:v>
                </c:pt>
                <c:pt idx="2">
                  <c:v>0</c:v>
                </c:pt>
                <c:pt idx="3">
                  <c:v>966</c:v>
                </c:pt>
                <c:pt idx="4">
                  <c:v>0</c:v>
                </c:pt>
                <c:pt idx="5">
                  <c:v>0</c:v>
                </c:pt>
                <c:pt idx="6">
                  <c:v>0</c:v>
                </c:pt>
                <c:pt idx="7">
                  <c:v>1291</c:v>
                </c:pt>
              </c:numCache>
            </c:numRef>
          </c:val>
        </c:ser>
        <c:ser>
          <c:idx val="18"/>
          <c:order val="18"/>
          <c:tx>
            <c:strRef>
              <c:f>PIVOT3!$T$1:$T$2</c:f>
              <c:strCache>
                <c:ptCount val="1"/>
                <c:pt idx="0">
                  <c:v>Sum of Non-Domestic Basline (GWh)</c:v>
                </c:pt>
              </c:strCache>
            </c:strRef>
          </c:tx>
          <c:spPr>
            <a:noFill/>
            <a:ln w="25400">
              <a:solidFill>
                <a:schemeClr val="accent1">
                  <a:lumMod val="75000"/>
                </a:schemeClr>
              </a:solidFill>
            </a:ln>
          </c:spPr>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PIVOT3!$T$3:$T$15</c:f>
              <c:numCache>
                <c:formatCode>General</c:formatCode>
                <c:ptCount val="8"/>
                <c:pt idx="0">
                  <c:v>530.73375310592166</c:v>
                </c:pt>
                <c:pt idx="1">
                  <c:v>0</c:v>
                </c:pt>
                <c:pt idx="2">
                  <c:v>337.20441753472107</c:v>
                </c:pt>
                <c:pt idx="3">
                  <c:v>0</c:v>
                </c:pt>
                <c:pt idx="4">
                  <c:v>146.19738798505799</c:v>
                </c:pt>
                <c:pt idx="5">
                  <c:v>0</c:v>
                </c:pt>
                <c:pt idx="6">
                  <c:v>932.90649588738052</c:v>
                </c:pt>
                <c:pt idx="7">
                  <c:v>0</c:v>
                </c:pt>
              </c:numCache>
            </c:numRef>
          </c:val>
        </c:ser>
        <c:ser>
          <c:idx val="19"/>
          <c:order val="19"/>
          <c:tx>
            <c:strRef>
              <c:f>PIVOT3!$U$1:$U$2</c:f>
              <c:strCache>
                <c:ptCount val="1"/>
                <c:pt idx="0">
                  <c:v>Sum of Domestic Baseline (GWh)</c:v>
                </c:pt>
              </c:strCache>
            </c:strRef>
          </c:tx>
          <c:spPr>
            <a:noFill/>
            <a:ln w="25400">
              <a:solidFill>
                <a:schemeClr val="accent2">
                  <a:lumMod val="75000"/>
                </a:schemeClr>
              </a:solidFill>
            </a:ln>
          </c:spPr>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PIVOT3!$U$3:$U$15</c:f>
              <c:numCache>
                <c:formatCode>General</c:formatCode>
                <c:ptCount val="8"/>
                <c:pt idx="0">
                  <c:v>356.70438762203639</c:v>
                </c:pt>
                <c:pt idx="1">
                  <c:v>0</c:v>
                </c:pt>
                <c:pt idx="2">
                  <c:v>243.33457703377769</c:v>
                </c:pt>
                <c:pt idx="3">
                  <c:v>0</c:v>
                </c:pt>
                <c:pt idx="4">
                  <c:v>164.99295768930881</c:v>
                </c:pt>
                <c:pt idx="5">
                  <c:v>0</c:v>
                </c:pt>
                <c:pt idx="6">
                  <c:v>662.64400934932837</c:v>
                </c:pt>
                <c:pt idx="7">
                  <c:v>0</c:v>
                </c:pt>
              </c:numCache>
            </c:numRef>
          </c:val>
        </c:ser>
        <c:ser>
          <c:idx val="20"/>
          <c:order val="20"/>
          <c:tx>
            <c:strRef>
              <c:f>PIVOT3!$V$1:$V$2</c:f>
              <c:strCache>
                <c:ptCount val="1"/>
                <c:pt idx="0">
                  <c:v>Sum of Transport Baseline (GWh)</c:v>
                </c:pt>
              </c:strCache>
            </c:strRef>
          </c:tx>
          <c:spPr>
            <a:noFill/>
            <a:ln w="25400">
              <a:solidFill>
                <a:schemeClr val="accent3">
                  <a:lumMod val="75000"/>
                </a:schemeClr>
              </a:solidFill>
            </a:ln>
          </c:spPr>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PIVOT3!$V$3:$V$15</c:f>
              <c:numCache>
                <c:formatCode>General</c:formatCode>
                <c:ptCount val="8"/>
                <c:pt idx="0">
                  <c:v>679.5889787666473</c:v>
                </c:pt>
                <c:pt idx="1">
                  <c:v>0</c:v>
                </c:pt>
                <c:pt idx="2">
                  <c:v>572.21824324028614</c:v>
                </c:pt>
                <c:pt idx="3">
                  <c:v>0</c:v>
                </c:pt>
                <c:pt idx="4">
                  <c:v>355.42368732906465</c:v>
                </c:pt>
                <c:pt idx="5">
                  <c:v>0</c:v>
                </c:pt>
                <c:pt idx="6">
                  <c:v>1384.8668873816923</c:v>
                </c:pt>
                <c:pt idx="7">
                  <c:v>0</c:v>
                </c:pt>
              </c:numCache>
            </c:numRef>
          </c:val>
        </c:ser>
        <c:ser>
          <c:idx val="21"/>
          <c:order val="21"/>
          <c:tx>
            <c:strRef>
              <c:f>PIVOT3!$W$1:$W$2</c:f>
              <c:strCache>
                <c:ptCount val="1"/>
                <c:pt idx="0">
                  <c:v>Sum of Non-Domestic Government Policy (GWh)</c:v>
                </c:pt>
              </c:strCache>
            </c:strRef>
          </c:tx>
          <c:spPr>
            <a:solidFill>
              <a:schemeClr val="accent1">
                <a:lumMod val="75000"/>
              </a:schemeClr>
            </a:solidFill>
          </c:spPr>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PIVOT3!$W$3:$W$15</c:f>
              <c:numCache>
                <c:formatCode>General</c:formatCode>
                <c:ptCount val="8"/>
                <c:pt idx="0">
                  <c:v>83.150832111255568</c:v>
                </c:pt>
                <c:pt idx="1">
                  <c:v>0</c:v>
                </c:pt>
                <c:pt idx="2">
                  <c:v>59.790037795771525</c:v>
                </c:pt>
                <c:pt idx="3">
                  <c:v>0</c:v>
                </c:pt>
                <c:pt idx="4">
                  <c:v>23.374015908007323</c:v>
                </c:pt>
                <c:pt idx="5">
                  <c:v>0</c:v>
                </c:pt>
                <c:pt idx="6">
                  <c:v>153.80583244450372</c:v>
                </c:pt>
                <c:pt idx="7">
                  <c:v>0</c:v>
                </c:pt>
              </c:numCache>
            </c:numRef>
          </c:val>
        </c:ser>
        <c:ser>
          <c:idx val="22"/>
          <c:order val="22"/>
          <c:tx>
            <c:strRef>
              <c:f>PIVOT3!$X$1:$X$2</c:f>
              <c:strCache>
                <c:ptCount val="1"/>
                <c:pt idx="0">
                  <c:v>Sum of Domestic Government Policy (GWh)</c:v>
                </c:pt>
              </c:strCache>
            </c:strRef>
          </c:tx>
          <c:spPr>
            <a:solidFill>
              <a:schemeClr val="accent2">
                <a:lumMod val="75000"/>
              </a:schemeClr>
            </a:solidFill>
          </c:spPr>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PIVOT3!$X$3:$X$15</c:f>
              <c:numCache>
                <c:formatCode>General</c:formatCode>
                <c:ptCount val="8"/>
                <c:pt idx="0">
                  <c:v>112.3907986851716</c:v>
                </c:pt>
                <c:pt idx="1">
                  <c:v>0</c:v>
                </c:pt>
                <c:pt idx="2">
                  <c:v>76.595868882034438</c:v>
                </c:pt>
                <c:pt idx="3">
                  <c:v>0</c:v>
                </c:pt>
                <c:pt idx="4">
                  <c:v>47.946438647728883</c:v>
                </c:pt>
                <c:pt idx="5">
                  <c:v>0</c:v>
                </c:pt>
                <c:pt idx="6">
                  <c:v>208.39794065744991</c:v>
                </c:pt>
                <c:pt idx="7">
                  <c:v>0</c:v>
                </c:pt>
              </c:numCache>
            </c:numRef>
          </c:val>
        </c:ser>
        <c:ser>
          <c:idx val="23"/>
          <c:order val="23"/>
          <c:tx>
            <c:strRef>
              <c:f>PIVOT3!$Y$1:$Y$2</c:f>
              <c:strCache>
                <c:ptCount val="1"/>
                <c:pt idx="0">
                  <c:v>Sum of Transport Government Policy (GWh)</c:v>
                </c:pt>
              </c:strCache>
            </c:strRef>
          </c:tx>
          <c:spPr>
            <a:solidFill>
              <a:schemeClr val="accent3">
                <a:lumMod val="75000"/>
              </a:schemeClr>
            </a:solidFill>
          </c:spPr>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PIVOT3!$Y$3:$Y$15</c:f>
              <c:numCache>
                <c:formatCode>General</c:formatCode>
                <c:ptCount val="8"/>
                <c:pt idx="0">
                  <c:v>94.13265697755071</c:v>
                </c:pt>
                <c:pt idx="1">
                  <c:v>0</c:v>
                </c:pt>
                <c:pt idx="2">
                  <c:v>79.291267221478279</c:v>
                </c:pt>
                <c:pt idx="3">
                  <c:v>0</c:v>
                </c:pt>
                <c:pt idx="4">
                  <c:v>49.3213009269964</c:v>
                </c:pt>
                <c:pt idx="5">
                  <c:v>0</c:v>
                </c:pt>
                <c:pt idx="6">
                  <c:v>191.93890080379629</c:v>
                </c:pt>
                <c:pt idx="7">
                  <c:v>0</c:v>
                </c:pt>
              </c:numCache>
            </c:numRef>
          </c:val>
        </c:ser>
        <c:ser>
          <c:idx val="24"/>
          <c:order val="24"/>
          <c:tx>
            <c:strRef>
              <c:f>PIVOT3!$Z$1:$Z$2</c:f>
              <c:strCache>
                <c:ptCount val="1"/>
                <c:pt idx="0">
                  <c:v>Sum of Non-Domestic Addional Reduction (GWh)</c:v>
                </c:pt>
              </c:strCache>
            </c:strRef>
          </c:tx>
          <c:spPr>
            <a:solidFill>
              <a:srgbClr val="4F81BD">
                <a:lumMod val="75000"/>
                <a:alpha val="50000"/>
              </a:srgbClr>
            </a:solidFill>
          </c:spPr>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PIVOT3!$Z$3:$Z$15</c:f>
              <c:numCache>
                <c:formatCode>General</c:formatCode>
                <c:ptCount val="8"/>
                <c:pt idx="0">
                  <c:v>132.68343827648039</c:v>
                </c:pt>
                <c:pt idx="1">
                  <c:v>0</c:v>
                </c:pt>
                <c:pt idx="2">
                  <c:v>84.30110438368024</c:v>
                </c:pt>
                <c:pt idx="3">
                  <c:v>0</c:v>
                </c:pt>
                <c:pt idx="4">
                  <c:v>36.549346996264489</c:v>
                </c:pt>
                <c:pt idx="5">
                  <c:v>0</c:v>
                </c:pt>
                <c:pt idx="6">
                  <c:v>233.22662397184513</c:v>
                </c:pt>
                <c:pt idx="7">
                  <c:v>0</c:v>
                </c:pt>
              </c:numCache>
            </c:numRef>
          </c:val>
        </c:ser>
        <c:ser>
          <c:idx val="25"/>
          <c:order val="25"/>
          <c:tx>
            <c:strRef>
              <c:f>PIVOT3!$AA$1:$AA$2</c:f>
              <c:strCache>
                <c:ptCount val="1"/>
                <c:pt idx="0">
                  <c:v>Sum of Domestic Government Addional Reduction (GWh)</c:v>
                </c:pt>
              </c:strCache>
            </c:strRef>
          </c:tx>
          <c:spPr>
            <a:solidFill>
              <a:srgbClr val="C0504D">
                <a:lumMod val="75000"/>
                <a:alpha val="50000"/>
              </a:srgbClr>
            </a:solidFill>
          </c:spPr>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PIVOT3!$AA$3:$AA$15</c:f>
              <c:numCache>
                <c:formatCode>General</c:formatCode>
                <c:ptCount val="8"/>
                <c:pt idx="0">
                  <c:v>300.99760667197279</c:v>
                </c:pt>
                <c:pt idx="1">
                  <c:v>0</c:v>
                </c:pt>
                <c:pt idx="2">
                  <c:v>184.16257010764423</c:v>
                </c:pt>
                <c:pt idx="3">
                  <c:v>0</c:v>
                </c:pt>
                <c:pt idx="4">
                  <c:v>106.68437632128018</c:v>
                </c:pt>
                <c:pt idx="5">
                  <c:v>0</c:v>
                </c:pt>
                <c:pt idx="6">
                  <c:v>533.16861607963915</c:v>
                </c:pt>
                <c:pt idx="7">
                  <c:v>0</c:v>
                </c:pt>
              </c:numCache>
            </c:numRef>
          </c:val>
        </c:ser>
        <c:ser>
          <c:idx val="26"/>
          <c:order val="26"/>
          <c:tx>
            <c:strRef>
              <c:f>PIVOT3!$AB$1:$AB$2</c:f>
              <c:strCache>
                <c:ptCount val="1"/>
                <c:pt idx="0">
                  <c:v>Sum of Transport Government Addional Reduction (GWh)</c:v>
                </c:pt>
              </c:strCache>
            </c:strRef>
          </c:tx>
          <c:spPr>
            <a:solidFill>
              <a:srgbClr val="9BBB59">
                <a:lumMod val="75000"/>
                <a:alpha val="50000"/>
              </a:srgbClr>
            </a:solidFill>
          </c:spPr>
          <c:cat>
            <c:multiLvlStrRef>
              <c:f>PIVOT3!$A$3:$A$15</c:f>
              <c:multiLvlStrCache>
                <c:ptCount val="8"/>
                <c:lvl>
                  <c:pt idx="0">
                    <c:v>Energy Demand</c:v>
                  </c:pt>
                  <c:pt idx="1">
                    <c:v>Potential Supply</c:v>
                  </c:pt>
                  <c:pt idx="2">
                    <c:v>Energy Demand</c:v>
                  </c:pt>
                  <c:pt idx="3">
                    <c:v>Potential Supply</c:v>
                  </c:pt>
                  <c:pt idx="4">
                    <c:v>Energy Demand</c:v>
                  </c:pt>
                  <c:pt idx="5">
                    <c:v>Potential Supply</c:v>
                  </c:pt>
                  <c:pt idx="6">
                    <c:v>Energy Demand</c:v>
                  </c:pt>
                  <c:pt idx="7">
                    <c:v>Potential Supply</c:v>
                  </c:pt>
                </c:lvl>
                <c:lvl>
                  <c:pt idx="0">
                    <c:v>South Hams</c:v>
                  </c:pt>
                  <c:pt idx="2">
                    <c:v>West Devon</c:v>
                  </c:pt>
                  <c:pt idx="4">
                    <c:v>Dartmoor</c:v>
                  </c:pt>
                  <c:pt idx="6">
                    <c:v>SW Devon Area</c:v>
                  </c:pt>
                </c:lvl>
              </c:multiLvlStrCache>
            </c:multiLvlStrRef>
          </c:cat>
          <c:val>
            <c:numRef>
              <c:f>PIVOT3!$AB$3:$AB$15</c:f>
              <c:numCache>
                <c:formatCode>General</c:formatCode>
                <c:ptCount val="8"/>
                <c:pt idx="0">
                  <c:v>30.684705700325821</c:v>
                </c:pt>
                <c:pt idx="1">
                  <c:v>0</c:v>
                </c:pt>
                <c:pt idx="2">
                  <c:v>26.070409430868494</c:v>
                </c:pt>
                <c:pt idx="3">
                  <c:v>0</c:v>
                </c:pt>
                <c:pt idx="4">
                  <c:v>16.727946938271771</c:v>
                </c:pt>
                <c:pt idx="5">
                  <c:v>0</c:v>
                </c:pt>
                <c:pt idx="6">
                  <c:v>63.399364137861767</c:v>
                </c:pt>
                <c:pt idx="7">
                  <c:v>0</c:v>
                </c:pt>
              </c:numCache>
            </c:numRef>
          </c:val>
        </c:ser>
        <c:overlap val="100"/>
        <c:axId val="134498560"/>
        <c:axId val="134516736"/>
      </c:barChart>
      <c:catAx>
        <c:axId val="134498560"/>
        <c:scaling>
          <c:orientation val="minMax"/>
        </c:scaling>
        <c:axPos val="b"/>
        <c:tickLblPos val="nextTo"/>
        <c:crossAx val="134516736"/>
        <c:crosses val="autoZero"/>
        <c:auto val="1"/>
        <c:lblAlgn val="ctr"/>
        <c:lblOffset val="100"/>
      </c:catAx>
      <c:valAx>
        <c:axId val="134516736"/>
        <c:scaling>
          <c:orientation val="minMax"/>
        </c:scaling>
        <c:axPos val="l"/>
        <c:majorGridlines/>
        <c:title>
          <c:tx>
            <c:rich>
              <a:bodyPr rot="-5400000" vert="horz"/>
              <a:lstStyle/>
              <a:p>
                <a:pPr>
                  <a:defRPr/>
                </a:pPr>
                <a:r>
                  <a:rPr lang="en-GB"/>
                  <a:t>Total Annual Energy (GWh)</a:t>
                </a:r>
              </a:p>
            </c:rich>
          </c:tx>
          <c:layout/>
        </c:title>
        <c:numFmt formatCode="General" sourceLinked="1"/>
        <c:tickLblPos val="nextTo"/>
        <c:crossAx val="134498560"/>
        <c:crosses val="autoZero"/>
        <c:crossBetween val="between"/>
      </c:valAx>
    </c:plotArea>
    <c:legend>
      <c:legendPos val="r"/>
      <c:layout/>
      <c:txPr>
        <a:bodyPr/>
        <a:lstStyle/>
        <a:p>
          <a:pPr>
            <a:defRPr sz="900"/>
          </a:pPr>
          <a:endParaRPr lang="en-US"/>
        </a:p>
      </c:txPr>
    </c:legend>
    <c:plotVisOnly val="1"/>
  </c:chart>
  <c:txPr>
    <a:bodyPr/>
    <a:lstStyle/>
    <a:p>
      <a:pPr>
        <a:defRPr sz="1050"/>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tabColor rgb="FFFFFF00"/>
  </sheetPr>
  <sheetViews>
    <sheetView zoomScale="123"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tabColor rgb="FFFFFF00"/>
  </sheetPr>
  <sheetViews>
    <sheetView zoomScale="123"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tabColor rgb="FFFFFF00"/>
  </sheetPr>
  <sheetViews>
    <sheetView zoomScale="123" workbookViewId="0" zoomToFit="1"/>
  </sheetViews>
  <pageMargins left="0.7" right="0.7" top="0.75" bottom="0.75" header="0.3" footer="0.3"/>
  <drawing r:id="rId1"/>
</chartsheet>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57150</xdr:colOff>
      <xdr:row>9</xdr:row>
      <xdr:rowOff>114300</xdr:rowOff>
    </xdr:from>
    <xdr:to>
      <xdr:col>1</xdr:col>
      <xdr:colOff>5114925</xdr:colOff>
      <xdr:row>37</xdr:row>
      <xdr:rowOff>133350</xdr:rowOff>
    </xdr:to>
    <xdr:sp macro="" textlink="">
      <xdr:nvSpPr>
        <xdr:cNvPr id="2" name="TextBox 1"/>
        <xdr:cNvSpPr txBox="1"/>
      </xdr:nvSpPr>
      <xdr:spPr>
        <a:xfrm>
          <a:off x="666750" y="1828800"/>
          <a:ext cx="5057775" cy="5353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mn-lt"/>
              <a:ea typeface="+mn-ea"/>
              <a:cs typeface="+mn-cs"/>
            </a:rPr>
            <a:t>Scope from Appendix A of ITT</a:t>
          </a:r>
        </a:p>
        <a:p>
          <a:r>
            <a:rPr lang="en-GB" sz="1100" i="1">
              <a:solidFill>
                <a:schemeClr val="dk1"/>
              </a:solidFill>
              <a:latin typeface="+mn-lt"/>
              <a:ea typeface="+mn-ea"/>
              <a:cs typeface="+mn-cs"/>
            </a:rPr>
            <a:t>Renewable Energy Generation: Commercial &amp; Community Scale</a:t>
          </a:r>
          <a:endParaRPr lang="en-GB" sz="1100">
            <a:solidFill>
              <a:schemeClr val="dk1"/>
            </a:solidFill>
            <a:latin typeface="+mn-lt"/>
            <a:ea typeface="+mn-ea"/>
            <a:cs typeface="+mn-cs"/>
          </a:endParaRPr>
        </a:p>
        <a:p>
          <a:r>
            <a:rPr lang="en-GB" sz="1100" i="1">
              <a:solidFill>
                <a:schemeClr val="dk1"/>
              </a:solidFill>
              <a:latin typeface="+mn-lt"/>
              <a:ea typeface="+mn-ea"/>
              <a:cs typeface="+mn-cs"/>
            </a:rPr>
            <a:t> </a:t>
          </a:r>
          <a:endParaRPr lang="en-GB" sz="1100">
            <a:solidFill>
              <a:schemeClr val="dk1"/>
            </a:solidFill>
            <a:latin typeface="+mn-lt"/>
            <a:ea typeface="+mn-ea"/>
            <a:cs typeface="+mn-cs"/>
          </a:endParaRPr>
        </a:p>
        <a:p>
          <a:pPr lvl="0"/>
          <a:r>
            <a:rPr lang="en-GB" sz="1100">
              <a:solidFill>
                <a:schemeClr val="dk1"/>
              </a:solidFill>
              <a:latin typeface="+mn-lt"/>
              <a:ea typeface="+mn-ea"/>
              <a:cs typeface="+mn-cs"/>
            </a:rPr>
            <a:t>Electricity</a:t>
          </a:r>
        </a:p>
        <a:p>
          <a:pPr lvl="1"/>
          <a:r>
            <a:rPr lang="en-GB" sz="1100">
              <a:solidFill>
                <a:schemeClr val="dk1"/>
              </a:solidFill>
              <a:latin typeface="+mn-lt"/>
              <a:ea typeface="+mn-ea"/>
              <a:cs typeface="+mn-cs"/>
            </a:rPr>
            <a:t>hydro</a:t>
          </a:r>
        </a:p>
        <a:p>
          <a:pPr lvl="1"/>
          <a:r>
            <a:rPr lang="en-GB" sz="1100">
              <a:solidFill>
                <a:schemeClr val="dk1"/>
              </a:solidFill>
              <a:latin typeface="+mn-lt"/>
              <a:ea typeface="+mn-ea"/>
              <a:cs typeface="+mn-cs"/>
            </a:rPr>
            <a:t>solar PV</a:t>
          </a:r>
        </a:p>
        <a:p>
          <a:pPr lvl="1"/>
          <a:r>
            <a:rPr lang="en-GB" sz="1100">
              <a:solidFill>
                <a:schemeClr val="dk1"/>
              </a:solidFill>
              <a:latin typeface="+mn-lt"/>
              <a:ea typeface="+mn-ea"/>
              <a:cs typeface="+mn-cs"/>
            </a:rPr>
            <a:t>wind turbines</a:t>
          </a:r>
        </a:p>
        <a:p>
          <a:pPr lvl="1"/>
          <a:r>
            <a:rPr lang="en-GB" sz="1100">
              <a:solidFill>
                <a:schemeClr val="dk1"/>
              </a:solidFill>
              <a:latin typeface="+mn-lt"/>
              <a:ea typeface="+mn-ea"/>
              <a:cs typeface="+mn-cs"/>
            </a:rPr>
            <a:t>marine (tidal &amp; wave)</a:t>
          </a:r>
        </a:p>
        <a:p>
          <a:pPr lvl="0"/>
          <a:r>
            <a:rPr lang="en-GB" sz="1100">
              <a:solidFill>
                <a:schemeClr val="dk1"/>
              </a:solidFill>
              <a:latin typeface="+mn-lt"/>
              <a:ea typeface="+mn-ea"/>
              <a:cs typeface="+mn-cs"/>
            </a:rPr>
            <a:t>Electricity &amp; /or heat</a:t>
          </a:r>
        </a:p>
        <a:p>
          <a:pPr lvl="1"/>
          <a:r>
            <a:rPr lang="en-GB" sz="1100">
              <a:solidFill>
                <a:schemeClr val="dk1"/>
              </a:solidFill>
              <a:latin typeface="+mn-lt"/>
              <a:ea typeface="+mn-ea"/>
              <a:cs typeface="+mn-cs"/>
            </a:rPr>
            <a:t>energy crops</a:t>
          </a:r>
        </a:p>
        <a:p>
          <a:pPr lvl="1"/>
          <a:r>
            <a:rPr lang="en-GB" sz="1100">
              <a:solidFill>
                <a:schemeClr val="dk1"/>
              </a:solidFill>
              <a:latin typeface="+mn-lt"/>
              <a:ea typeface="+mn-ea"/>
              <a:cs typeface="+mn-cs"/>
            </a:rPr>
            <a:t>wastes</a:t>
          </a:r>
        </a:p>
        <a:p>
          <a:pPr lvl="1"/>
          <a:r>
            <a:rPr lang="en-GB" sz="1100">
              <a:solidFill>
                <a:schemeClr val="dk1"/>
              </a:solidFill>
              <a:latin typeface="+mn-lt"/>
              <a:ea typeface="+mn-ea"/>
              <a:cs typeface="+mn-cs"/>
            </a:rPr>
            <a:t>geothermal</a:t>
          </a:r>
        </a:p>
        <a:p>
          <a:pPr lvl="0"/>
          <a:r>
            <a:rPr lang="en-GB" sz="1100">
              <a:solidFill>
                <a:schemeClr val="dk1"/>
              </a:solidFill>
              <a:latin typeface="+mn-lt"/>
              <a:ea typeface="+mn-ea"/>
              <a:cs typeface="+mn-cs"/>
            </a:rPr>
            <a:t>Bio Fuels</a:t>
          </a:r>
        </a:p>
        <a:p>
          <a:pPr lvl="1"/>
          <a:r>
            <a:rPr lang="en-GB" sz="1100">
              <a:solidFill>
                <a:schemeClr val="dk1"/>
              </a:solidFill>
              <a:latin typeface="+mn-lt"/>
              <a:ea typeface="+mn-ea"/>
              <a:cs typeface="+mn-cs"/>
            </a:rPr>
            <a:t>energy crops </a:t>
          </a:r>
        </a:p>
        <a:p>
          <a:pPr lvl="1"/>
          <a:r>
            <a:rPr lang="en-GB" sz="1100">
              <a:solidFill>
                <a:schemeClr val="dk1"/>
              </a:solidFill>
              <a:latin typeface="+mn-lt"/>
              <a:ea typeface="+mn-ea"/>
              <a:cs typeface="+mn-cs"/>
            </a:rPr>
            <a:t>wastes</a:t>
          </a:r>
        </a:p>
        <a:p>
          <a:r>
            <a:rPr lang="en-GB" sz="1100">
              <a:solidFill>
                <a:schemeClr val="dk1"/>
              </a:solidFill>
              <a:latin typeface="+mn-lt"/>
              <a:ea typeface="+mn-ea"/>
              <a:cs typeface="+mn-cs"/>
            </a:rPr>
            <a:t> </a:t>
          </a:r>
        </a:p>
        <a:p>
          <a:r>
            <a:rPr lang="en-GB" sz="1100" i="1">
              <a:solidFill>
                <a:schemeClr val="dk1"/>
              </a:solidFill>
              <a:latin typeface="+mn-lt"/>
              <a:ea typeface="+mn-ea"/>
              <a:cs typeface="+mn-cs"/>
            </a:rPr>
            <a:t>Renewable Energy Generation: Domestic Scale</a:t>
          </a:r>
          <a:endParaRPr lang="en-GB" sz="1100">
            <a:solidFill>
              <a:schemeClr val="dk1"/>
            </a:solidFill>
            <a:latin typeface="+mn-lt"/>
            <a:ea typeface="+mn-ea"/>
            <a:cs typeface="+mn-cs"/>
          </a:endParaRPr>
        </a:p>
        <a:p>
          <a:r>
            <a:rPr lang="en-GB" sz="1100" i="1">
              <a:solidFill>
                <a:schemeClr val="dk1"/>
              </a:solidFill>
              <a:latin typeface="+mn-lt"/>
              <a:ea typeface="+mn-ea"/>
              <a:cs typeface="+mn-cs"/>
            </a:rPr>
            <a:t> </a:t>
          </a:r>
          <a:endParaRPr lang="en-GB" sz="1100">
            <a:solidFill>
              <a:schemeClr val="dk1"/>
            </a:solidFill>
            <a:latin typeface="+mn-lt"/>
            <a:ea typeface="+mn-ea"/>
            <a:cs typeface="+mn-cs"/>
          </a:endParaRPr>
        </a:p>
        <a:p>
          <a:pPr lvl="0"/>
          <a:r>
            <a:rPr lang="en-GB" sz="1100">
              <a:solidFill>
                <a:schemeClr val="dk1"/>
              </a:solidFill>
              <a:latin typeface="+mn-lt"/>
              <a:ea typeface="+mn-ea"/>
              <a:cs typeface="+mn-cs"/>
            </a:rPr>
            <a:t>Electricity</a:t>
          </a:r>
        </a:p>
        <a:p>
          <a:pPr lvl="1"/>
          <a:r>
            <a:rPr lang="en-GB" sz="1100">
              <a:solidFill>
                <a:schemeClr val="dk1"/>
              </a:solidFill>
              <a:latin typeface="+mn-lt"/>
              <a:ea typeface="+mn-ea"/>
              <a:cs typeface="+mn-cs"/>
            </a:rPr>
            <a:t>'green' energy suppliers</a:t>
          </a:r>
        </a:p>
        <a:p>
          <a:pPr lvl="1"/>
          <a:r>
            <a:rPr lang="en-GB" sz="1100">
              <a:solidFill>
                <a:schemeClr val="dk1"/>
              </a:solidFill>
              <a:latin typeface="+mn-lt"/>
              <a:ea typeface="+mn-ea"/>
              <a:cs typeface="+mn-cs"/>
            </a:rPr>
            <a:t>solar PV [note: show government analysis of FIT and income deciles etc.]</a:t>
          </a:r>
        </a:p>
        <a:p>
          <a:pPr lvl="1"/>
          <a:r>
            <a:rPr lang="en-GB" sz="1100">
              <a:solidFill>
                <a:schemeClr val="dk1"/>
              </a:solidFill>
              <a:latin typeface="+mn-lt"/>
              <a:ea typeface="+mn-ea"/>
              <a:cs typeface="+mn-cs"/>
            </a:rPr>
            <a:t>wind turbines</a:t>
          </a:r>
        </a:p>
        <a:p>
          <a:pPr lvl="0"/>
          <a:r>
            <a:rPr lang="en-GB" sz="1100">
              <a:solidFill>
                <a:schemeClr val="dk1"/>
              </a:solidFill>
              <a:latin typeface="+mn-lt"/>
              <a:ea typeface="+mn-ea"/>
              <a:cs typeface="+mn-cs"/>
            </a:rPr>
            <a:t>Space &amp; water heating</a:t>
          </a:r>
        </a:p>
        <a:p>
          <a:pPr lvl="1"/>
          <a:r>
            <a:rPr lang="en-GB" sz="1100">
              <a:solidFill>
                <a:schemeClr val="dk1"/>
              </a:solidFill>
              <a:latin typeface="+mn-lt"/>
              <a:ea typeface="+mn-ea"/>
              <a:cs typeface="+mn-cs"/>
            </a:rPr>
            <a:t>solar thermal (domestic hot water)</a:t>
          </a:r>
        </a:p>
        <a:p>
          <a:pPr lvl="1"/>
          <a:r>
            <a:rPr lang="en-GB" sz="1100">
              <a:solidFill>
                <a:schemeClr val="dk1"/>
              </a:solidFill>
              <a:latin typeface="+mn-lt"/>
              <a:ea typeface="+mn-ea"/>
              <a:cs typeface="+mn-cs"/>
            </a:rPr>
            <a:t>biomass stoves &amp; boilers</a:t>
          </a:r>
        </a:p>
        <a:p>
          <a:pPr lvl="1"/>
          <a:r>
            <a:rPr lang="en-GB" sz="1100">
              <a:solidFill>
                <a:schemeClr val="dk1"/>
              </a:solidFill>
              <a:latin typeface="+mn-lt"/>
              <a:ea typeface="+mn-ea"/>
              <a:cs typeface="+mn-cs"/>
            </a:rPr>
            <a:t>air source heat pumps </a:t>
          </a:r>
        </a:p>
        <a:p>
          <a:r>
            <a:rPr lang="en-GB" sz="1100">
              <a:solidFill>
                <a:schemeClr val="dk1"/>
              </a:solidFill>
              <a:latin typeface="+mn-lt"/>
              <a:ea typeface="+mn-ea"/>
              <a:cs typeface="+mn-cs"/>
            </a:rPr>
            <a:t>ground source heat pumps</a:t>
          </a:r>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6</xdr:col>
      <xdr:colOff>561975</xdr:colOff>
      <xdr:row>21</xdr:row>
      <xdr:rowOff>129659</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2476500"/>
          <a:ext cx="4791075" cy="1844159"/>
        </a:xfrm>
        <a:prstGeom prst="rect">
          <a:avLst/>
        </a:prstGeom>
        <a:noFill/>
        <a:ln w="1">
          <a:noFill/>
          <a:miter lim="800000"/>
          <a:headEnd/>
          <a:tailEnd type="none" w="med" len="me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171450</xdr:colOff>
      <xdr:row>19</xdr:row>
      <xdr:rowOff>57150</xdr:rowOff>
    </xdr:from>
    <xdr:to>
      <xdr:col>18</xdr:col>
      <xdr:colOff>171450</xdr:colOff>
      <xdr:row>32</xdr:row>
      <xdr:rowOff>180975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038975" y="15020925"/>
          <a:ext cx="4267200" cy="2600325"/>
        </a:xfrm>
        <a:prstGeom prst="rect">
          <a:avLst/>
        </a:prstGeom>
        <a:noFill/>
        <a:ln w="1">
          <a:noFill/>
          <a:miter lim="800000"/>
          <a:headEnd/>
          <a:tailEnd type="none" w="med" len="med"/>
        </a:ln>
        <a:effectLst/>
      </xdr:spPr>
    </xdr:pic>
    <xdr:clientData/>
  </xdr:twoCellAnchor>
  <xdr:twoCellAnchor editAs="oneCell">
    <xdr:from>
      <xdr:col>8</xdr:col>
      <xdr:colOff>514351</xdr:colOff>
      <xdr:row>50</xdr:row>
      <xdr:rowOff>95250</xdr:rowOff>
    </xdr:from>
    <xdr:to>
      <xdr:col>12</xdr:col>
      <xdr:colOff>102435</xdr:colOff>
      <xdr:row>65</xdr:row>
      <xdr:rowOff>28575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5391151" y="9810750"/>
          <a:ext cx="2026484" cy="2790825"/>
        </a:xfrm>
        <a:prstGeom prst="rect">
          <a:avLst/>
        </a:prstGeom>
        <a:noFill/>
        <a:ln w="1">
          <a:noFill/>
          <a:miter lim="800000"/>
          <a:headEnd/>
          <a:tailEnd type="none" w="med" len="med"/>
        </a:ln>
        <a:effectLst/>
      </xdr:spPr>
    </xdr:pic>
    <xdr:clientData/>
  </xdr:twoCellAnchor>
  <xdr:twoCellAnchor editAs="oneCell">
    <xdr:from>
      <xdr:col>12</xdr:col>
      <xdr:colOff>76200</xdr:colOff>
      <xdr:row>49</xdr:row>
      <xdr:rowOff>85725</xdr:rowOff>
    </xdr:from>
    <xdr:to>
      <xdr:col>20</xdr:col>
      <xdr:colOff>209550</xdr:colOff>
      <xdr:row>66</xdr:row>
      <xdr:rowOff>95250</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391400" y="9610725"/>
          <a:ext cx="5010150" cy="32480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308171" cy="60789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08171" cy="60789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0.71215</cdr:x>
      <cdr:y>0.07134</cdr:y>
    </cdr:from>
    <cdr:to>
      <cdr:x>0.75208</cdr:x>
      <cdr:y>0.91975</cdr:y>
    </cdr:to>
    <cdr:sp macro="" textlink="">
      <cdr:nvSpPr>
        <cdr:cNvPr id="2" name="Rectangle 1"/>
        <cdr:cNvSpPr/>
      </cdr:nvSpPr>
      <cdr:spPr>
        <a:xfrm xmlns:a="http://schemas.openxmlformats.org/drawingml/2006/main">
          <a:off x="6628817" y="433659"/>
          <a:ext cx="371671" cy="515743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308171" cy="607896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0.698</cdr:x>
      <cdr:y>0.05987</cdr:y>
    </cdr:from>
    <cdr:to>
      <cdr:x>0.73544</cdr:x>
      <cdr:y>0.96815</cdr:y>
    </cdr:to>
    <cdr:sp macro="" textlink="">
      <cdr:nvSpPr>
        <cdr:cNvPr id="2" name="Rectangle 1"/>
        <cdr:cNvSpPr/>
      </cdr:nvSpPr>
      <cdr:spPr>
        <a:xfrm xmlns:a="http://schemas.openxmlformats.org/drawingml/2006/main">
          <a:off x="6497133" y="363964"/>
          <a:ext cx="348477" cy="5521402"/>
        </a:xfrm>
        <a:prstGeom xmlns:a="http://schemas.openxmlformats.org/drawingml/2006/main" prst="rect">
          <a:avLst/>
        </a:prstGeom>
        <a:solidFill xmlns:a="http://schemas.openxmlformats.org/drawingml/2006/main">
          <a:sysClr val="window" lastClr="FFFFFF"/>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5</xdr:col>
      <xdr:colOff>379319</xdr:colOff>
      <xdr:row>157</xdr:row>
      <xdr:rowOff>114300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09600" y="26717625"/>
          <a:ext cx="4352925" cy="1447800"/>
        </a:xfrm>
        <a:prstGeom prst="rect">
          <a:avLst/>
        </a:prstGeom>
        <a:noFill/>
        <a:ln w="1">
          <a:noFill/>
          <a:miter lim="800000"/>
          <a:headEnd/>
          <a:tailEnd type="none" w="med" len="med"/>
        </a:ln>
        <a:effectLst/>
      </xdr:spPr>
    </xdr:pic>
    <xdr:clientData/>
  </xdr:twoCellAnchor>
  <xdr:twoCellAnchor editAs="oneCell">
    <xdr:from>
      <xdr:col>1</xdr:col>
      <xdr:colOff>44824</xdr:colOff>
      <xdr:row>158</xdr:row>
      <xdr:rowOff>11206</xdr:rowOff>
    </xdr:from>
    <xdr:to>
      <xdr:col>5</xdr:col>
      <xdr:colOff>338418</xdr:colOff>
      <xdr:row>168</xdr:row>
      <xdr:rowOff>154081</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49942" y="28283647"/>
          <a:ext cx="4282888" cy="2047875"/>
        </a:xfrm>
        <a:prstGeom prst="rect">
          <a:avLst/>
        </a:prstGeom>
        <a:noFill/>
        <a:ln w="1">
          <a:noFill/>
          <a:miter lim="800000"/>
          <a:headEnd/>
          <a:tailEnd type="none" w="med" len="med"/>
        </a:ln>
        <a:effectLst/>
      </xdr:spPr>
    </xdr:pic>
    <xdr:clientData/>
  </xdr:twoCellAnchor>
  <xdr:twoCellAnchor editAs="oneCell">
    <xdr:from>
      <xdr:col>1</xdr:col>
      <xdr:colOff>0</xdr:colOff>
      <xdr:row>173</xdr:row>
      <xdr:rowOff>0</xdr:rowOff>
    </xdr:from>
    <xdr:to>
      <xdr:col>6</xdr:col>
      <xdr:colOff>567018</xdr:colOff>
      <xdr:row>176</xdr:row>
      <xdr:rowOff>133350</xdr:rowOff>
    </xdr:to>
    <xdr:pic>
      <xdr:nvPicPr>
        <xdr:cNvPr id="205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609600" y="31099125"/>
          <a:ext cx="5191125" cy="704850"/>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552450</xdr:colOff>
      <xdr:row>8</xdr:row>
      <xdr:rowOff>57150</xdr:rowOff>
    </xdr:from>
    <xdr:to>
      <xdr:col>10</xdr:col>
      <xdr:colOff>352425</xdr:colOff>
      <xdr:row>25</xdr:row>
      <xdr:rowOff>180975</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52450" y="1581150"/>
          <a:ext cx="6124575" cy="3362325"/>
        </a:xfrm>
        <a:prstGeom prst="rect">
          <a:avLst/>
        </a:prstGeom>
        <a:noFill/>
        <a:ln w="1">
          <a:noFill/>
          <a:miter lim="800000"/>
          <a:headEnd/>
          <a:tailEnd type="none" w="med" len="med"/>
        </a:ln>
        <a:effectLst/>
      </xdr:spPr>
    </xdr:pic>
    <xdr:clientData/>
  </xdr:twoCellAnchor>
  <xdr:twoCellAnchor editAs="oneCell">
    <xdr:from>
      <xdr:col>1</xdr:col>
      <xdr:colOff>19050</xdr:colOff>
      <xdr:row>89</xdr:row>
      <xdr:rowOff>65307</xdr:rowOff>
    </xdr:from>
    <xdr:to>
      <xdr:col>8</xdr:col>
      <xdr:colOff>552450</xdr:colOff>
      <xdr:row>104</xdr:row>
      <xdr:rowOff>9525</xdr:rowOff>
    </xdr:to>
    <xdr:pic>
      <xdr:nvPicPr>
        <xdr:cNvPr id="1026" name="Picture 2"/>
        <xdr:cNvPicPr>
          <a:picLocks noChangeAspect="1" noChangeArrowheads="1"/>
        </xdr:cNvPicPr>
      </xdr:nvPicPr>
      <xdr:blipFill>
        <a:blip xmlns:r="http://schemas.openxmlformats.org/officeDocument/2006/relationships" r:embed="rId2" cstate="print"/>
        <a:srcRect l="25417" t="24095" r="9940" b="18286"/>
        <a:stretch>
          <a:fillRect/>
        </a:stretch>
      </xdr:blipFill>
      <xdr:spPr bwMode="auto">
        <a:xfrm>
          <a:off x="628650" y="17019807"/>
          <a:ext cx="5029200" cy="2801718"/>
        </a:xfrm>
        <a:prstGeom prst="rect">
          <a:avLst/>
        </a:prstGeom>
        <a:noFill/>
        <a:ln w="1">
          <a:noFill/>
          <a:miter lim="800000"/>
          <a:headEnd/>
          <a:tailEnd type="none" w="med" len="med"/>
        </a:ln>
        <a:effectLst/>
      </xdr:spPr>
    </xdr:pic>
    <xdr:clientData/>
  </xdr:twoCellAnchor>
  <xdr:twoCellAnchor editAs="oneCell">
    <xdr:from>
      <xdr:col>0</xdr:col>
      <xdr:colOff>581025</xdr:colOff>
      <xdr:row>110</xdr:row>
      <xdr:rowOff>47625</xdr:rowOff>
    </xdr:from>
    <xdr:to>
      <xdr:col>6</xdr:col>
      <xdr:colOff>512794</xdr:colOff>
      <xdr:row>123</xdr:row>
      <xdr:rowOff>133350</xdr:rowOff>
    </xdr:to>
    <xdr:pic>
      <xdr:nvPicPr>
        <xdr:cNvPr id="1027" name="Picture 3"/>
        <xdr:cNvPicPr>
          <a:picLocks noChangeAspect="1" noChangeArrowheads="1"/>
        </xdr:cNvPicPr>
      </xdr:nvPicPr>
      <xdr:blipFill>
        <a:blip xmlns:r="http://schemas.openxmlformats.org/officeDocument/2006/relationships" r:embed="rId3" cstate="print"/>
        <a:srcRect l="25536" t="24762" r="20714" b="17524"/>
        <a:stretch>
          <a:fillRect/>
        </a:stretch>
      </xdr:blipFill>
      <xdr:spPr bwMode="auto">
        <a:xfrm>
          <a:off x="581025" y="21002625"/>
          <a:ext cx="3817969" cy="2562225"/>
        </a:xfrm>
        <a:prstGeom prst="rect">
          <a:avLst/>
        </a:prstGeom>
        <a:noFill/>
        <a:ln w="1">
          <a:noFill/>
          <a:miter lim="800000"/>
          <a:headEnd/>
          <a:tailEnd type="none" w="med" len="med"/>
        </a:ln>
        <a:effectLst/>
      </xdr:spPr>
    </xdr:pic>
    <xdr:clientData/>
  </xdr:twoCellAnchor>
  <xdr:twoCellAnchor editAs="oneCell">
    <xdr:from>
      <xdr:col>6</xdr:col>
      <xdr:colOff>466724</xdr:colOff>
      <xdr:row>109</xdr:row>
      <xdr:rowOff>171450</xdr:rowOff>
    </xdr:from>
    <xdr:to>
      <xdr:col>13</xdr:col>
      <xdr:colOff>115357</xdr:colOff>
      <xdr:row>123</xdr:row>
      <xdr:rowOff>123825</xdr:rowOff>
    </xdr:to>
    <xdr:pic>
      <xdr:nvPicPr>
        <xdr:cNvPr id="1028" name="Picture 4"/>
        <xdr:cNvPicPr>
          <a:picLocks noChangeAspect="1" noChangeArrowheads="1"/>
        </xdr:cNvPicPr>
      </xdr:nvPicPr>
      <xdr:blipFill>
        <a:blip xmlns:r="http://schemas.openxmlformats.org/officeDocument/2006/relationships" r:embed="rId4" cstate="print"/>
        <a:srcRect l="44286" t="23810" r="2857" b="19619"/>
        <a:stretch>
          <a:fillRect/>
        </a:stretch>
      </xdr:blipFill>
      <xdr:spPr bwMode="auto">
        <a:xfrm>
          <a:off x="4352924" y="20935950"/>
          <a:ext cx="3915833" cy="2619375"/>
        </a:xfrm>
        <a:prstGeom prst="rect">
          <a:avLst/>
        </a:prstGeom>
        <a:noFill/>
        <a:ln w="1">
          <a:noFill/>
          <a:miter lim="800000"/>
          <a:headEnd/>
          <a:tailEnd type="none" w="med" len="med"/>
        </a:ln>
        <a:effectLst/>
      </xdr:spPr>
    </xdr:pic>
    <xdr:clientData/>
  </xdr:twoCellAnchor>
  <xdr:twoCellAnchor editAs="oneCell">
    <xdr:from>
      <xdr:col>1</xdr:col>
      <xdr:colOff>0</xdr:colOff>
      <xdr:row>127</xdr:row>
      <xdr:rowOff>0</xdr:rowOff>
    </xdr:from>
    <xdr:to>
      <xdr:col>10</xdr:col>
      <xdr:colOff>400050</xdr:colOff>
      <xdr:row>136</xdr:row>
      <xdr:rowOff>142875</xdr:rowOff>
    </xdr:to>
    <xdr:pic>
      <xdr:nvPicPr>
        <xdr:cNvPr id="102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609600" y="24193500"/>
          <a:ext cx="6115050" cy="1857375"/>
        </a:xfrm>
        <a:prstGeom prst="rect">
          <a:avLst/>
        </a:prstGeom>
        <a:noFill/>
        <a:ln w="1">
          <a:noFill/>
          <a:miter lim="800000"/>
          <a:headEnd/>
          <a:tailEnd type="none" w="med" len="med"/>
        </a:ln>
        <a:effectLst/>
      </xdr:spPr>
    </xdr:pic>
    <xdr:clientData/>
  </xdr:twoCellAnchor>
  <xdr:twoCellAnchor editAs="oneCell">
    <xdr:from>
      <xdr:col>1</xdr:col>
      <xdr:colOff>0</xdr:colOff>
      <xdr:row>137</xdr:row>
      <xdr:rowOff>0</xdr:rowOff>
    </xdr:from>
    <xdr:to>
      <xdr:col>10</xdr:col>
      <xdr:colOff>276225</xdr:colOff>
      <xdr:row>140</xdr:row>
      <xdr:rowOff>180975</xdr:rowOff>
    </xdr:to>
    <xdr:pic>
      <xdr:nvPicPr>
        <xdr:cNvPr id="1030"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609600" y="26098500"/>
          <a:ext cx="5991225" cy="752475"/>
        </a:xfrm>
        <a:prstGeom prst="rect">
          <a:avLst/>
        </a:prstGeom>
        <a:noFill/>
        <a:ln w="1">
          <a:noFill/>
          <a:miter lim="800000"/>
          <a:headEnd/>
          <a:tailEnd type="none" w="med" len="med"/>
        </a:ln>
        <a:effectLst/>
      </xdr:spPr>
    </xdr:pic>
    <xdr:clientData/>
  </xdr:twoCellAnchor>
  <xdr:twoCellAnchor editAs="oneCell">
    <xdr:from>
      <xdr:col>9</xdr:col>
      <xdr:colOff>561975</xdr:colOff>
      <xdr:row>77</xdr:row>
      <xdr:rowOff>177082</xdr:rowOff>
    </xdr:from>
    <xdr:to>
      <xdr:col>18</xdr:col>
      <xdr:colOff>380999</xdr:colOff>
      <xdr:row>97</xdr:row>
      <xdr:rowOff>114299</xdr:rowOff>
    </xdr:to>
    <xdr:pic>
      <xdr:nvPicPr>
        <xdr:cNvPr id="1032" name="Picture 8"/>
        <xdr:cNvPicPr>
          <a:picLocks noChangeAspect="1" noChangeArrowheads="1"/>
        </xdr:cNvPicPr>
      </xdr:nvPicPr>
      <xdr:blipFill>
        <a:blip xmlns:r="http://schemas.openxmlformats.org/officeDocument/2006/relationships" r:embed="rId7" cstate="print"/>
        <a:srcRect/>
        <a:stretch>
          <a:fillRect/>
        </a:stretch>
      </xdr:blipFill>
      <xdr:spPr bwMode="auto">
        <a:xfrm>
          <a:off x="6276975" y="14845582"/>
          <a:ext cx="5305424" cy="3747217"/>
        </a:xfrm>
        <a:prstGeom prst="rect">
          <a:avLst/>
        </a:prstGeom>
        <a:noFill/>
        <a:ln w="1">
          <a:noFill/>
          <a:miter lim="800000"/>
          <a:headEnd/>
          <a:tailEnd type="none" w="med" len="med"/>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57150</xdr:colOff>
      <xdr:row>8</xdr:row>
      <xdr:rowOff>123826</xdr:rowOff>
    </xdr:from>
    <xdr:to>
      <xdr:col>11</xdr:col>
      <xdr:colOff>28575</xdr:colOff>
      <xdr:row>14</xdr:row>
      <xdr:rowOff>85726</xdr:rowOff>
    </xdr:to>
    <xdr:sp macro="" textlink="">
      <xdr:nvSpPr>
        <xdr:cNvPr id="2" name="TextBox 1"/>
        <xdr:cNvSpPr txBox="1"/>
      </xdr:nvSpPr>
      <xdr:spPr>
        <a:xfrm>
          <a:off x="666750" y="1647826"/>
          <a:ext cx="6543675" cy="1104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t>The personal knowledge of the authors, combined with a review of planning </a:t>
          </a:r>
        </a:p>
        <a:p>
          <a:r>
            <a:rPr lang="en-GB" sz="1100"/>
            <a:t>applications over two years to April 2010, indicates that no wind turbines larger than </a:t>
          </a:r>
        </a:p>
        <a:p>
          <a:r>
            <a:rPr lang="en-GB" sz="1100"/>
            <a:t>6kW are currently in operation within the DNPA boundary. There may, however, be </a:t>
          </a:r>
        </a:p>
        <a:p>
          <a:r>
            <a:rPr lang="en-GB" sz="1100"/>
            <a:t>roughly 20 smaller turbines, of the approximate size of that at Higher Downstow, </a:t>
          </a:r>
        </a:p>
        <a:p>
          <a:r>
            <a:rPr lang="en-GB" sz="1100"/>
            <a:t>which generates 12,000 kWh. Twenty such turbines would generate a total of 0.24 </a:t>
          </a:r>
        </a:p>
        <a:p>
          <a:r>
            <a:rPr lang="en-GB" sz="1100"/>
            <a:t>GWh. </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Dan Lash" refreshedDate="41411.51689791667" createdVersion="3" refreshedVersion="3" minRefreshableVersion="3" recordCount="8">
  <cacheSource type="worksheet">
    <worksheetSource ref="A4:BM12" sheet="summary3"/>
  </cacheSource>
  <cacheFields count="65">
    <cacheField name="Area" numFmtId="0">
      <sharedItems count="4">
        <s v="South Hams"/>
        <s v="West Devon"/>
        <s v="Dartmoor"/>
        <s v="SW Devon Area"/>
      </sharedItems>
    </cacheField>
    <cacheField name="Parameter" numFmtId="0">
      <sharedItems count="2">
        <s v="Energy Demand"/>
        <s v="Potential Supply"/>
      </sharedItems>
    </cacheField>
    <cacheField name="PV Farms: Number" numFmtId="0">
      <sharedItems containsSemiMixedTypes="0" containsString="0" containsNumber="1" containsInteger="1" minValue="0" maxValue="12"/>
    </cacheField>
    <cacheField name="PV Farms: Capacity (MW)" numFmtId="0">
      <sharedItems containsSemiMixedTypes="0" containsString="0" containsNumber="1" minValue="0" maxValue="50.400000000000006"/>
    </cacheField>
    <cacheField name="PV Farms: Energy (GWh)" numFmtId="0">
      <sharedItems containsSemiMixedTypes="0" containsString="0" containsNumber="1" minValue="0" maxValue="180.23463925233648"/>
    </cacheField>
    <cacheField name="Large Scale Wind: Number" numFmtId="0">
      <sharedItems containsSemiMixedTypes="0" containsString="0" containsNumber="1" containsInteger="1" minValue="0" maxValue="221"/>
    </cacheField>
    <cacheField name="Large Scale Wind: Capacity (MW)" numFmtId="0">
      <sharedItems containsSemiMixedTypes="0" containsString="0" containsNumber="1" containsInteger="1" minValue="0" maxValue="552"/>
    </cacheField>
    <cacheField name="Large Scale Wind: Energy (GWh)" numFmtId="0">
      <sharedItems containsSemiMixedTypes="0" containsString="0" containsNumber="1" containsInteger="1" minValue="0" maxValue="1291"/>
    </cacheField>
    <cacheField name="Medium Scale Wind: Number" numFmtId="0">
      <sharedItems containsSemiMixedTypes="0" containsString="0" containsNumber="1" containsInteger="1" minValue="0" maxValue="10"/>
    </cacheField>
    <cacheField name="Medium Scale Wind: Capacity (MW)" numFmtId="0">
      <sharedItems containsSemiMixedTypes="0" containsString="0" containsNumber="1" minValue="0" maxValue="2.25"/>
    </cacheField>
    <cacheField name="Medium Scale Wind: Energy (GWh)" numFmtId="0">
      <sharedItems containsSemiMixedTypes="0" containsString="0" containsNumber="1" minValue="0" maxValue="4"/>
    </cacheField>
    <cacheField name="Hydro: Number" numFmtId="0">
      <sharedItems containsSemiMixedTypes="0" containsString="0" containsNumber="1" containsInteger="1" minValue="0" maxValue="75"/>
    </cacheField>
    <cacheField name="Hydro: Capacity (MW)" numFmtId="0">
      <sharedItems containsSemiMixedTypes="0" containsString="0" containsNumber="1" minValue="0" maxValue="6.3810000000000002"/>
    </cacheField>
    <cacheField name="Hydro: Energy (GWh)" numFmtId="0">
      <sharedItems containsSemiMixedTypes="0" containsString="0" containsNumber="1" minValue="0" maxValue="28.432355326671118"/>
    </cacheField>
    <cacheField name="Geothermal: Number" numFmtId="0">
      <sharedItems containsSemiMixedTypes="0" containsString="0" containsNumber="1" containsInteger="1" minValue="0" maxValue="1"/>
    </cacheField>
    <cacheField name="Geothermal: Capacity (MW)" numFmtId="0">
      <sharedItems containsSemiMixedTypes="0" containsString="0" containsNumber="1" minValue="0" maxValue="20.3125"/>
    </cacheField>
    <cacheField name="Geothermal: Energy (GWh)" numFmtId="0">
      <sharedItems containsSemiMixedTypes="0" containsString="0" containsNumber="1" minValue="0" maxValue="169.04062500000001"/>
    </cacheField>
    <cacheField name="Clean Wood: Number" numFmtId="0">
      <sharedItems containsSemiMixedTypes="0" containsString="0" containsNumber="1" containsInteger="1" minValue="0" maxValue="0"/>
    </cacheField>
    <cacheField name="Clean Wood: Capacity (MW)" numFmtId="0">
      <sharedItems containsSemiMixedTypes="0" containsString="0" containsNumber="1" minValue="0" maxValue="190.08674547549936"/>
    </cacheField>
    <cacheField name="Clean Wood: Energy (GWh)" numFmtId="0">
      <sharedItems containsSemiMixedTypes="0" containsString="0" containsNumber="1" minValue="0" maxValue="252.56778199820346"/>
    </cacheField>
    <cacheField name="Treated Wood: Number" numFmtId="0">
      <sharedItems containsSemiMixedTypes="0" containsString="0" containsNumber="1" containsInteger="1" minValue="0" maxValue="0"/>
    </cacheField>
    <cacheField name="Treated Wood: Capacity (MW)" numFmtId="0">
      <sharedItems containsSemiMixedTypes="0" containsString="0" containsNumber="1" minValue="0" maxValue="1.532964144697982"/>
    </cacheField>
    <cacheField name="Treated Wood: Energy (GWh)" numFmtId="0">
      <sharedItems containsSemiMixedTypes="0" containsString="0" containsNumber="1" minValue="0" maxValue="18.128833975198337"/>
    </cacheField>
    <cacheField name="Wet Biomass: Number" numFmtId="0">
      <sharedItems containsSemiMixedTypes="0" containsString="0" containsNumber="1" containsInteger="1" minValue="0" maxValue="0"/>
    </cacheField>
    <cacheField name="Wet Biomass: Capacity (MW)" numFmtId="0">
      <sharedItems containsSemiMixedTypes="0" containsString="0" containsNumber="1" minValue="0" maxValue="1.3623849509558801"/>
    </cacheField>
    <cacheField name="Wet Biomass: Energy (GWh)" numFmtId="0">
      <sharedItems containsSemiMixedTypes="0" containsString="0" containsNumber="1" minValue="0" maxValue="19.691912081116293"/>
    </cacheField>
    <cacheField name="Residual Waste: Number" numFmtId="0">
      <sharedItems containsSemiMixedTypes="0" containsString="0" containsNumber="1" containsInteger="1" minValue="0" maxValue="0"/>
    </cacheField>
    <cacheField name="Residual Waste: Capacity (MW)" numFmtId="0">
      <sharedItems containsSemiMixedTypes="0" containsString="0" containsNumber="1" minValue="0" maxValue="5.5098771610320325"/>
    </cacheField>
    <cacheField name="Residual Waste: Energy (GWh)" numFmtId="0">
      <sharedItems containsSemiMixedTypes="0" containsString="0" containsNumber="1" minValue="0" maxValue="46.323782057565609"/>
    </cacheField>
    <cacheField name="Domestic PV: Number" numFmtId="0">
      <sharedItems containsSemiMixedTypes="0" containsString="0" containsNumber="1" minValue="0" maxValue="19250.077708438435"/>
    </cacheField>
    <cacheField name="Domestic PV: Capacity (MW)" numFmtId="0">
      <sharedItems containsSemiMixedTypes="0" containsString="0" containsNumber="1" minValue="0" maxValue="38.500155416876872"/>
    </cacheField>
    <cacheField name="Domestic PV: Energy (GWh)" numFmtId="0">
      <sharedItems containsSemiMixedTypes="0" containsString="0" containsNumber="1" minValue="0" maxValue="36.921649044784921"/>
    </cacheField>
    <cacheField name="Non-domestic PV: Number" numFmtId="0">
      <sharedItems containsSemiMixedTypes="0" containsString="0" containsNumber="1" minValue="0" maxValue="3446.3042724271968"/>
    </cacheField>
    <cacheField name="Non-domestic PV: Capacity (MW)" numFmtId="0">
      <sharedItems containsSemiMixedTypes="0" containsString="0" containsNumber="1" minValue="0" maxValue="20.194172185528323"/>
    </cacheField>
    <cacheField name="Non-domestic PV: Energy (GWh)" numFmtId="0">
      <sharedItems containsSemiMixedTypes="0" containsString="0" containsNumber="1" minValue="0" maxValue="19.366211125921666"/>
    </cacheField>
    <cacheField name="Domestic SWH: Number" numFmtId="0">
      <sharedItems containsSemiMixedTypes="0" containsString="0" containsNumber="1" minValue="0" maxValue="16441.627708438435"/>
    </cacheField>
    <cacheField name="Domestic SWH: Capacity (MW)" numFmtId="0">
      <sharedItems containsSemiMixedTypes="0" containsString="0" containsNumber="1" minValue="0" maxValue="32.883255416876871"/>
    </cacheField>
    <cacheField name="Domestic SWH: Energy (GWh)" numFmtId="0">
      <sharedItems containsSemiMixedTypes="0" containsString="0" containsNumber="1" minValue="0" maxValue="23.044585396147308"/>
    </cacheField>
    <cacheField name="Non-domestic SWH: Number" numFmtId="0">
      <sharedItems containsSemiMixedTypes="0" containsString="0" containsNumber="1" minValue="0" maxValue="442.53016467846822"/>
    </cacheField>
    <cacheField name="Non-domestic SWH: Capacity (MW)" numFmtId="0">
      <sharedItems containsSemiMixedTypes="0" containsString="0" containsNumber="1" minValue="0" maxValue="4.425301646784682"/>
    </cacheField>
    <cacheField name="Non-domestic SWH: Energy (GWh)" numFmtId="0">
      <sharedItems containsSemiMixedTypes="0" containsString="0" containsNumber="1" minValue="0" maxValue="3.1012513940667055"/>
    </cacheField>
    <cacheField name="Domestic biomass: Number" numFmtId="0">
      <sharedItems containsSemiMixedTypes="0" containsString="0" containsNumber="1" minValue="0" maxValue="28946.904194810311"/>
    </cacheField>
    <cacheField name="Domestic biomass: Capacity (MW)" numFmtId="0">
      <sharedItems containsSemiMixedTypes="0" containsString="0" containsNumber="1" minValue="0" maxValue="289.4690419481031"/>
    </cacheField>
    <cacheField name="Domestic biomass: Energy (GWh)" numFmtId="0">
      <sharedItems containsSemiMixedTypes="0" containsString="0" containsNumber="1" minValue="0" maxValue="316.96860093317292"/>
    </cacheField>
    <cacheField name="Non-domestic biomass: Number" numFmtId="0">
      <sharedItems containsSemiMixedTypes="0" containsString="0" containsNumber="1" minValue="0" maxValue="135.31627058480854"/>
    </cacheField>
    <cacheField name="Non-domestic biomass: Capacity (MW)" numFmtId="0">
      <sharedItems containsSemiMixedTypes="0" containsString="0" containsNumber="1" minValue="0" maxValue="56.274542969157558"/>
    </cacheField>
    <cacheField name="Non-domestic biomass: Energy (GWh)" numFmtId="0">
      <sharedItems containsSemiMixedTypes="0" containsString="0" containsNumber="1" minValue="0" maxValue="189.0667901690083"/>
    </cacheField>
    <cacheField name="Domestic Heat Pumps: Number" numFmtId="0">
      <sharedItems containsSemiMixedTypes="0" containsString="0" containsNumber="1" minValue="0" maxValue="19972.109812856546"/>
    </cacheField>
    <cacheField name="Domestic Heat Pumps: Capacity (MW)" numFmtId="0">
      <sharedItems containsSemiMixedTypes="0" containsString="0" containsNumber="1" minValue="0" maxValue="199.72109812856547"/>
    </cacheField>
    <cacheField name="Domestic Heat Pumps: Energy (GWh)" numFmtId="0">
      <sharedItems containsSemiMixedTypes="0" containsString="0" containsNumber="1" minValue="0" maxValue="227.44238654881039"/>
    </cacheField>
    <cacheField name="Non-domestic heat pumps: Number" numFmtId="0">
      <sharedItems containsSemiMixedTypes="0" containsString="0" containsNumber="1" minValue="0" maxValue="726.44352693718213"/>
    </cacheField>
    <cacheField name="Non-domestic heat pumps: Capacity (MW)" numFmtId="0">
      <sharedItems containsSemiMixedTypes="0" containsString="0" containsNumber="1" minValue="0" maxValue="39.954393981545017"/>
    </cacheField>
    <cacheField name="Non-domestic heat pumps: Energy (GWh)" numFmtId="0">
      <sharedItems containsSemiMixedTypes="0" containsString="0" containsNumber="1" minValue="0" maxValue="122.500171947417"/>
    </cacheField>
    <cacheField name="Micro Wind: Number" numFmtId="0">
      <sharedItems containsSemiMixedTypes="0" containsString="0" containsNumber="1" minValue="0" maxValue="21098.061723619623"/>
    </cacheField>
    <cacheField name="Micro Wind: Capacity (MW)" numFmtId="0">
      <sharedItems containsSemiMixedTypes="0" containsString="0" containsNumber="1" minValue="0" maxValue="193.57800503087975"/>
    </cacheField>
    <cacheField name="Micro Wind: Energy (GWh)" numFmtId="0">
      <sharedItems containsSemiMixedTypes="0" containsString="0" containsNumber="1" minValue="0" maxValue="289.46577236234799"/>
    </cacheField>
    <cacheField name="Non-Domestic Basline (GWh)" numFmtId="1">
      <sharedItems containsSemiMixedTypes="0" containsString="0" containsNumber="1" minValue="0" maxValue="932.90649588738052"/>
    </cacheField>
    <cacheField name="Domestic Baseline (GWh)" numFmtId="1">
      <sharedItems containsSemiMixedTypes="0" containsString="0" containsNumber="1" minValue="0" maxValue="662.64400934932837"/>
    </cacheField>
    <cacheField name="Transport Baseline (GWh)" numFmtId="1">
      <sharedItems containsSemiMixedTypes="0" containsString="0" containsNumber="1" minValue="0" maxValue="1384.8668873816923"/>
    </cacheField>
    <cacheField name="Non-Domestic Government Policy (GWh)" numFmtId="1">
      <sharedItems containsSemiMixedTypes="0" containsString="0" containsNumber="1" minValue="0" maxValue="153.80583244450372"/>
    </cacheField>
    <cacheField name="Domestic Government Policy (GWh)" numFmtId="1">
      <sharedItems containsSemiMixedTypes="0" containsString="0" containsNumber="1" minValue="0" maxValue="208.39794065744991"/>
    </cacheField>
    <cacheField name="Transport Government Policy (GWh)" numFmtId="1">
      <sharedItems containsSemiMixedTypes="0" containsString="0" containsNumber="1" minValue="0" maxValue="191.93890080379629"/>
    </cacheField>
    <cacheField name="Non-Domestic Addional Reduction (GWh)" numFmtId="1">
      <sharedItems containsSemiMixedTypes="0" containsString="0" containsNumber="1" minValue="0" maxValue="233.22662397184513"/>
    </cacheField>
    <cacheField name="Domestic Government Addional Reduction (GWh)" numFmtId="1">
      <sharedItems containsSemiMixedTypes="0" containsString="0" containsNumber="1" minValue="0" maxValue="533.16861607963915"/>
    </cacheField>
    <cacheField name="Transport Government Addional Reduction (GWh)" numFmtId="1">
      <sharedItems containsSemiMixedTypes="0" containsString="0" containsNumber="1" minValue="0" maxValue="63.399364137861767"/>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Dan Lash" refreshedDate="41411.51905289352" createdVersion="3" refreshedVersion="3" minRefreshableVersion="3" recordCount="12">
  <cacheSource type="worksheet">
    <worksheetSource ref="A4:BG16" sheet="summary2"/>
  </cacheSource>
  <cacheFields count="59">
    <cacheField name="Area" numFmtId="0">
      <sharedItems count="4">
        <s v="South Hams"/>
        <s v="West Devon"/>
        <s v="Dartmoor"/>
        <s v="SW Devon Area"/>
      </sharedItems>
    </cacheField>
    <cacheField name="Parameter" numFmtId="0">
      <sharedItems count="12">
        <s v="Current Demand"/>
        <s v="2022 Demand Govt. Policy"/>
        <s v="Potential Supply"/>
        <s v="West Devon Supply" u="1"/>
        <s v="West Devon Demand" u="1"/>
        <s v="South Hams Current Demand" u="1"/>
        <s v="South Hams Supply" u="1"/>
        <s v="SW Devon Area Demand" u="1"/>
        <s v="Dartmoor Supply" u="1"/>
        <s v="Dartmoor Demand" u="1"/>
        <s v="South Hams 2022 Demand Govt. Policy" u="1"/>
        <s v="SW Devon Area Supply" u="1"/>
      </sharedItems>
    </cacheField>
    <cacheField name="PV Farms: Number" numFmtId="0">
      <sharedItems containsSemiMixedTypes="0" containsString="0" containsNumber="1" containsInteger="1" minValue="0" maxValue="12"/>
    </cacheField>
    <cacheField name="PV Farms: Capacity (MW)" numFmtId="0">
      <sharedItems containsSemiMixedTypes="0" containsString="0" containsNumber="1" minValue="0" maxValue="50.400000000000006"/>
    </cacheField>
    <cacheField name="PV Farms: Energy (GWh)" numFmtId="0">
      <sharedItems containsSemiMixedTypes="0" containsString="0" containsNumber="1" minValue="0" maxValue="180.23463925233648"/>
    </cacheField>
    <cacheField name="Large Scale Wind: Number" numFmtId="0">
      <sharedItems containsSemiMixedTypes="0" containsString="0" containsNumber="1" containsInteger="1" minValue="0" maxValue="221"/>
    </cacheField>
    <cacheField name="Large Scale Wind: Capacity (MW)" numFmtId="0">
      <sharedItems containsSemiMixedTypes="0" containsString="0" containsNumber="1" containsInteger="1" minValue="0" maxValue="552"/>
    </cacheField>
    <cacheField name="Large Scale Wind: Energy (GWh)" numFmtId="0">
      <sharedItems containsSemiMixedTypes="0" containsString="0" containsNumber="1" containsInteger="1" minValue="0" maxValue="1291"/>
    </cacheField>
    <cacheField name="Medium Scale Wind: Number" numFmtId="0">
      <sharedItems containsSemiMixedTypes="0" containsString="0" containsNumber="1" containsInteger="1" minValue="0" maxValue="10"/>
    </cacheField>
    <cacheField name="Medium Scale Wind: Capacity (MW)" numFmtId="0">
      <sharedItems containsSemiMixedTypes="0" containsString="0" containsNumber="1" minValue="0" maxValue="2.25"/>
    </cacheField>
    <cacheField name="Medium Scale Wind: Energy (GWh)" numFmtId="0">
      <sharedItems containsSemiMixedTypes="0" containsString="0" containsNumber="1" minValue="0" maxValue="4"/>
    </cacheField>
    <cacheField name="Hydro: Number" numFmtId="0">
      <sharedItems containsSemiMixedTypes="0" containsString="0" containsNumber="1" containsInteger="1" minValue="0" maxValue="75"/>
    </cacheField>
    <cacheField name="Hydro: Capacity (MW)" numFmtId="0">
      <sharedItems containsSemiMixedTypes="0" containsString="0" containsNumber="1" minValue="0" maxValue="6.3810000000000002"/>
    </cacheField>
    <cacheField name="Hydro: Energy (GWh)" numFmtId="0">
      <sharedItems containsSemiMixedTypes="0" containsString="0" containsNumber="1" minValue="0" maxValue="28.432355326671118"/>
    </cacheField>
    <cacheField name="Geothermal: Number" numFmtId="0">
      <sharedItems containsSemiMixedTypes="0" containsString="0" containsNumber="1" containsInteger="1" minValue="0" maxValue="1"/>
    </cacheField>
    <cacheField name="Geothermal: Capacity (MW)" numFmtId="0">
      <sharedItems containsSemiMixedTypes="0" containsString="0" containsNumber="1" minValue="0" maxValue="20.3125"/>
    </cacheField>
    <cacheField name="Geothermal: Energy (GWh)" numFmtId="0">
      <sharedItems containsSemiMixedTypes="0" containsString="0" containsNumber="1" minValue="0" maxValue="169.04062500000001"/>
    </cacheField>
    <cacheField name="Clean Wood: Number" numFmtId="0">
      <sharedItems containsSemiMixedTypes="0" containsString="0" containsNumber="1" containsInteger="1" minValue="0" maxValue="0"/>
    </cacheField>
    <cacheField name="Clean Wood: Capacity (MW)" numFmtId="0">
      <sharedItems containsSemiMixedTypes="0" containsString="0" containsNumber="1" minValue="0" maxValue="190.08674547549936"/>
    </cacheField>
    <cacheField name="Clean Wood: Energy (GWh)" numFmtId="0">
      <sharedItems containsSemiMixedTypes="0" containsString="0" containsNumber="1" minValue="0" maxValue="252.56778199820346"/>
    </cacheField>
    <cacheField name="Treated Wood: Number" numFmtId="0">
      <sharedItems containsSemiMixedTypes="0" containsString="0" containsNumber="1" containsInteger="1" minValue="0" maxValue="0"/>
    </cacheField>
    <cacheField name="Treated Wood: Capacity (MW)" numFmtId="0">
      <sharedItems containsSemiMixedTypes="0" containsString="0" containsNumber="1" minValue="0" maxValue="1.532964144697982"/>
    </cacheField>
    <cacheField name="Treated Wood: Energy (GWh)" numFmtId="0">
      <sharedItems containsSemiMixedTypes="0" containsString="0" containsNumber="1" minValue="0" maxValue="18.128833975198337"/>
    </cacheField>
    <cacheField name="Wet Biomass: Number" numFmtId="0">
      <sharedItems containsSemiMixedTypes="0" containsString="0" containsNumber="1" containsInteger="1" minValue="0" maxValue="0"/>
    </cacheField>
    <cacheField name="Wet Biomass: Capacity (MW)" numFmtId="0">
      <sharedItems containsSemiMixedTypes="0" containsString="0" containsNumber="1" minValue="0" maxValue="1.3623849509558801"/>
    </cacheField>
    <cacheField name="Wet Biomass: Energy (GWh)" numFmtId="0">
      <sharedItems containsSemiMixedTypes="0" containsString="0" containsNumber="1" minValue="0" maxValue="19.691912081116293"/>
    </cacheField>
    <cacheField name="Residual Waste: Number" numFmtId="0">
      <sharedItems containsSemiMixedTypes="0" containsString="0" containsNumber="1" containsInteger="1" minValue="0" maxValue="0"/>
    </cacheField>
    <cacheField name="Residual Waste: Capacity (MW)" numFmtId="0">
      <sharedItems containsSemiMixedTypes="0" containsString="0" containsNumber="1" minValue="0" maxValue="5.5098771610320325"/>
    </cacheField>
    <cacheField name="Residual Waste: Energy (GWh)" numFmtId="0">
      <sharedItems containsSemiMixedTypes="0" containsString="0" containsNumber="1" minValue="0" maxValue="46.323782057565609"/>
    </cacheField>
    <cacheField name="Domestic PV: Number" numFmtId="0">
      <sharedItems containsSemiMixedTypes="0" containsString="0" containsNumber="1" minValue="0" maxValue="19250.077708438435"/>
    </cacheField>
    <cacheField name="Domestic PV: Capacity (MW)" numFmtId="0">
      <sharedItems containsSemiMixedTypes="0" containsString="0" containsNumber="1" minValue="0" maxValue="38.500155416876872"/>
    </cacheField>
    <cacheField name="Domestic PV: Energy (GWh)" numFmtId="0">
      <sharedItems containsSemiMixedTypes="0" containsString="0" containsNumber="1" minValue="0" maxValue="36.921649044784921"/>
    </cacheField>
    <cacheField name="Non-domestic PV: Number" numFmtId="0">
      <sharedItems containsSemiMixedTypes="0" containsString="0" containsNumber="1" minValue="0" maxValue="3446.3042724271968"/>
    </cacheField>
    <cacheField name="Non-domestic PV: Capacity (MW)" numFmtId="0">
      <sharedItems containsSemiMixedTypes="0" containsString="0" containsNumber="1" minValue="0" maxValue="20.194172185528323"/>
    </cacheField>
    <cacheField name="Non-domestic PV: Energy (GWh)" numFmtId="0">
      <sharedItems containsSemiMixedTypes="0" containsString="0" containsNumber="1" minValue="0" maxValue="19.366211125921666"/>
    </cacheField>
    <cacheField name="Domestic SWH: Number" numFmtId="0">
      <sharedItems containsSemiMixedTypes="0" containsString="0" containsNumber="1" minValue="0" maxValue="16441.627708438435"/>
    </cacheField>
    <cacheField name="Domestic SWH: Capacity (MW)" numFmtId="0">
      <sharedItems containsSemiMixedTypes="0" containsString="0" containsNumber="1" minValue="0" maxValue="32.883255416876871"/>
    </cacheField>
    <cacheField name="Domestic SWH: Energy (GWh)" numFmtId="0">
      <sharedItems containsSemiMixedTypes="0" containsString="0" containsNumber="1" minValue="0" maxValue="23.044585396147308"/>
    </cacheField>
    <cacheField name="Non-domestic SWH: Number" numFmtId="0">
      <sharedItems containsSemiMixedTypes="0" containsString="0" containsNumber="1" minValue="0" maxValue="442.53016467846822"/>
    </cacheField>
    <cacheField name="Non-domestic SWH: Capacity (MW)" numFmtId="0">
      <sharedItems containsSemiMixedTypes="0" containsString="0" containsNumber="1" minValue="0" maxValue="4.425301646784682"/>
    </cacheField>
    <cacheField name="Non-domestic SWH: Energy (GWh)" numFmtId="0">
      <sharedItems containsSemiMixedTypes="0" containsString="0" containsNumber="1" minValue="0" maxValue="3.1012513940667055"/>
    </cacheField>
    <cacheField name="Domestic biomass: Number" numFmtId="0">
      <sharedItems containsSemiMixedTypes="0" containsString="0" containsNumber="1" minValue="0" maxValue="28946.904194810311"/>
    </cacheField>
    <cacheField name="Domestic biomass: Capacity (MW)" numFmtId="0">
      <sharedItems containsSemiMixedTypes="0" containsString="0" containsNumber="1" minValue="0" maxValue="289.4690419481031"/>
    </cacheField>
    <cacheField name="Domestic biomass: Energy (GWh)" numFmtId="0">
      <sharedItems containsSemiMixedTypes="0" containsString="0" containsNumber="1" minValue="0" maxValue="316.96860093317292"/>
    </cacheField>
    <cacheField name="Non-domestic biomass: Number" numFmtId="0">
      <sharedItems containsSemiMixedTypes="0" containsString="0" containsNumber="1" minValue="0" maxValue="135.31627058480854"/>
    </cacheField>
    <cacheField name="Non-domestic biomass: Capacity (MW)" numFmtId="0">
      <sharedItems containsSemiMixedTypes="0" containsString="0" containsNumber="1" minValue="0" maxValue="56.274542969157558"/>
    </cacheField>
    <cacheField name="Non-domestic biomass: Energy (GWh)" numFmtId="0">
      <sharedItems containsSemiMixedTypes="0" containsString="0" containsNumber="1" minValue="0" maxValue="189.0667901690083"/>
    </cacheField>
    <cacheField name="Domestic Heat Pumps: Number" numFmtId="0">
      <sharedItems containsSemiMixedTypes="0" containsString="0" containsNumber="1" minValue="0" maxValue="19972.109812856546"/>
    </cacheField>
    <cacheField name="Domestic Heat Pumps: Capacity (MW)" numFmtId="0">
      <sharedItems containsSemiMixedTypes="0" containsString="0" containsNumber="1" minValue="0" maxValue="199.72109812856547"/>
    </cacheField>
    <cacheField name="Domestic Heat Pumps: Energy (GWh)" numFmtId="0">
      <sharedItems containsSemiMixedTypes="0" containsString="0" containsNumber="1" minValue="0" maxValue="227.44238654881039"/>
    </cacheField>
    <cacheField name="Non-domestic heat pumps: Number" numFmtId="0">
      <sharedItems containsSemiMixedTypes="0" containsString="0" containsNumber="1" minValue="0" maxValue="726.44352693718213"/>
    </cacheField>
    <cacheField name="Non-domestic heat pumps: Capacity (MW)" numFmtId="0">
      <sharedItems containsSemiMixedTypes="0" containsString="0" containsNumber="1" minValue="0" maxValue="39.954393981545017"/>
    </cacheField>
    <cacheField name="Non-domestic heat pumps: Energy (GWh)" numFmtId="0">
      <sharedItems containsSemiMixedTypes="0" containsString="0" containsNumber="1" minValue="0" maxValue="122.500171947417"/>
    </cacheField>
    <cacheField name="Micro Wind: Number" numFmtId="0">
      <sharedItems containsSemiMixedTypes="0" containsString="0" containsNumber="1" minValue="0" maxValue="21098.061723619623"/>
    </cacheField>
    <cacheField name="Micro Wind: Capacity (MW)" numFmtId="0">
      <sharedItems containsSemiMixedTypes="0" containsString="0" containsNumber="1" minValue="0" maxValue="193.57800503087975"/>
    </cacheField>
    <cacheField name="Micro Wind: Energy (GWh)" numFmtId="0">
      <sharedItems containsSemiMixedTypes="0" containsString="0" containsNumber="1" minValue="0" maxValue="289.46577236234799"/>
    </cacheField>
    <cacheField name="Non-Domestic Demand (GWh)" numFmtId="1">
      <sharedItems containsSemiMixedTypes="0" containsString="0" containsNumber="1" minValue="0" maxValue="1319.9389523037294"/>
    </cacheField>
    <cacheField name="Domestic Demand (GWh)" numFmtId="1">
      <sharedItems containsSemiMixedTypes="0" containsString="0" containsNumber="1" minValue="0" maxValue="1404.2105660864174"/>
    </cacheField>
    <cacheField name="Transport Demand (GWh)" numFmtId="1">
      <sharedItems containsSemiMixedTypes="0" containsString="0" containsNumber="1" minValue="0" maxValue="1640.2051523233504"/>
    </cacheField>
  </cacheFields>
</pivotCacheDefinition>
</file>

<file path=xl/pivotCache/pivotCacheDefinition3.xml><?xml version="1.0" encoding="utf-8"?>
<pivotCacheDefinition xmlns="http://schemas.openxmlformats.org/spreadsheetml/2006/main" xmlns:r="http://schemas.openxmlformats.org/officeDocument/2006/relationships" r:id="rId1" refreshedBy="Dan Lash" refreshedDate="41411.520452430559" createdVersion="3" refreshedVersion="3" minRefreshableVersion="3" recordCount="72">
  <cacheSource type="worksheet">
    <worksheetSource ref="B2:F74" sheet="summary"/>
  </cacheSource>
  <cacheFields count="5">
    <cacheField name="Technology" numFmtId="0">
      <sharedItems count="19">
        <s v="PV Farms"/>
        <s v="Large Scale Wind"/>
        <s v="Medium Scale Wind"/>
        <s v="Hydro"/>
        <s v="Geothermal"/>
        <s v="Clean Wood"/>
        <s v="Treated Wood"/>
        <s v="Wet Biomass"/>
        <s v="Residual Waste"/>
        <s v="Domestic PV"/>
        <s v="Non-domestic PV"/>
        <s v="Domestic SWH"/>
        <s v="Non-domestic SWH"/>
        <s v="Domestic biomass"/>
        <s v="Non-domestic biomass"/>
        <s v="Domestic Heat Pumps"/>
        <s v="Non-domestic heat pumps"/>
        <s v="Micro Wind"/>
        <s v="Community Scale Wind" u="1"/>
      </sharedItems>
    </cacheField>
    <cacheField name="Area" numFmtId="0">
      <sharedItems count="4">
        <s v="South Hams"/>
        <s v="West Devon"/>
        <s v="Dartmoor"/>
        <s v="SW Devon Area"/>
      </sharedItems>
    </cacheField>
    <cacheField name="Number" numFmtId="1">
      <sharedItems containsSemiMixedTypes="0" containsString="0" containsNumber="1" minValue="0" maxValue="28946.904194810311"/>
    </cacheField>
    <cacheField name="Capacity (MW)" numFmtId="1">
      <sharedItems containsSemiMixedTypes="0" containsString="0" containsNumber="1" minValue="0" maxValue="552"/>
    </cacheField>
    <cacheField name="Energy (GWh)" numFmtId="1">
      <sharedItems containsSemiMixedTypes="0" containsString="0" containsNumber="1" minValue="0" maxValue="1291"/>
    </cacheField>
  </cacheFields>
</pivotCacheDefinition>
</file>

<file path=xl/pivotCache/pivotCacheRecords1.xml><?xml version="1.0" encoding="utf-8"?>
<pivotCacheRecords xmlns="http://schemas.openxmlformats.org/spreadsheetml/2006/main" xmlns:r="http://schemas.openxmlformats.org/officeDocument/2006/relationships" count="8">
  <r>
    <x v="0"/>
    <x v="0"/>
    <n v="0"/>
    <n v="0"/>
    <n v="0"/>
    <n v="0"/>
    <n v="0"/>
    <n v="0"/>
    <n v="0"/>
    <n v="0"/>
    <n v="0"/>
    <n v="0"/>
    <n v="0"/>
    <n v="0"/>
    <n v="0"/>
    <n v="0"/>
    <n v="0"/>
    <n v="0"/>
    <n v="0"/>
    <n v="0"/>
    <n v="0"/>
    <n v="0"/>
    <n v="0"/>
    <n v="0"/>
    <n v="0"/>
    <n v="0"/>
    <n v="0"/>
    <n v="0"/>
    <n v="0"/>
    <n v="0"/>
    <n v="0"/>
    <n v="0"/>
    <n v="0"/>
    <n v="0"/>
    <n v="0"/>
    <n v="0"/>
    <n v="0"/>
    <n v="0"/>
    <n v="0"/>
    <n v="0"/>
    <n v="0"/>
    <n v="0"/>
    <n v="0"/>
    <n v="0"/>
    <n v="0"/>
    <n v="0"/>
    <n v="0"/>
    <n v="0"/>
    <n v="0"/>
    <n v="0"/>
    <n v="0"/>
    <n v="0"/>
    <n v="0"/>
    <n v="0"/>
    <n v="0"/>
    <n v="0"/>
    <n v="530.73375310592166"/>
    <n v="356.70438762203639"/>
    <n v="679.5889787666473"/>
    <n v="83.150832111255568"/>
    <n v="112.3907986851716"/>
    <n v="94.13265697755071"/>
    <n v="132.68343827648039"/>
    <n v="300.99760667197279"/>
    <n v="30.684705700325821"/>
  </r>
  <r>
    <x v="0"/>
    <x v="1"/>
    <n v="5"/>
    <n v="21"/>
    <n v="75.097766355140195"/>
    <n v="46"/>
    <n v="115"/>
    <n v="325"/>
    <n v="6"/>
    <n v="1.35"/>
    <n v="2.4000000000000004"/>
    <n v="27"/>
    <n v="1.478"/>
    <n v="6.5318310876632264"/>
    <n v="0"/>
    <n v="0"/>
    <n v="0"/>
    <n v="0"/>
    <n v="68.801203975509111"/>
    <n v="90.244514404768196"/>
    <n v="0"/>
    <n v="0.92140199560290881"/>
    <n v="10.8965"/>
    <n v="0"/>
    <n v="0.66376470065956361"/>
    <n v="9.5940549833333328"/>
    <n v="0"/>
    <n v="3.0220049940412008"/>
    <n v="25.40722717212417"/>
    <n v="10267.950000000001"/>
    <n v="20.535900000000002"/>
    <n v="19.693928100000001"/>
    <n v="1893"/>
    <n v="11.2"/>
    <n v="10.7408"/>
    <n v="9214.5"/>
    <n v="18.428999999999998"/>
    <n v="12.915043199999998"/>
    <n v="268"/>
    <n v="2.68"/>
    <n v="1.8781440000000005"/>
    <n v="15299.197432083361"/>
    <n v="152.99197432083363"/>
    <n v="167.52621188131283"/>
    <n v="71.5"/>
    <n v="33.606249999999996"/>
    <n v="115.0088355"/>
    <n v="11597.28055849361"/>
    <n v="115.97280558493611"/>
    <n v="132.06983100012525"/>
    <n v="395"/>
    <n v="21.725000000000001"/>
    <n v="66.608850000000004"/>
    <n v="21098.061723619623"/>
    <n v="109.30372250022732"/>
    <n v="163.77726871556209"/>
    <n v="0"/>
    <n v="0"/>
    <n v="0"/>
    <n v="0"/>
    <n v="0"/>
    <n v="0"/>
    <n v="0"/>
    <n v="0"/>
    <n v="0"/>
  </r>
  <r>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337.20441753472107"/>
    <n v="243.33457703377769"/>
    <n v="572.21824324028614"/>
    <n v="59.790037795771525"/>
    <n v="76.595868882034438"/>
    <n v="79.291267221478279"/>
    <n v="84.30110438368024"/>
    <n v="184.16257010764423"/>
    <n v="26.070409430868494"/>
  </r>
  <r>
    <x v="1"/>
    <x v="1"/>
    <n v="7"/>
    <n v="29.400000000000002"/>
    <n v="105.13687289719627"/>
    <n v="175"/>
    <n v="437"/>
    <n v="966"/>
    <n v="3"/>
    <n v="0.67500000000000004"/>
    <n v="1.2000000000000002"/>
    <n v="46"/>
    <n v="4.8930000000000007"/>
    <n v="21.853072153325819"/>
    <n v="0"/>
    <n v="0"/>
    <n v="0"/>
    <n v="0"/>
    <n v="92.058206086811296"/>
    <n v="120.41189130982447"/>
    <n v="0"/>
    <n v="0.4996617622188399"/>
    <n v="5.9089999999999998"/>
    <n v="0"/>
    <n v="0.66499512261119575"/>
    <n v="9.6118395022222227"/>
    <n v="0"/>
    <n v="1.915328301458487"/>
    <n v="16.102945349299134"/>
    <n v="7111.25"/>
    <n v="14.2225"/>
    <n v="13.6393775"/>
    <n v="1212"/>
    <n v="6.97"/>
    <n v="6.6842299999999994"/>
    <n v="5681.25"/>
    <n v="11.362500000000001"/>
    <n v="7.9628399999999999"/>
    <n v="128"/>
    <n v="1.28"/>
    <n v="0.89702400000000015"/>
    <n v="10884.558976886932"/>
    <n v="108.84558976886932"/>
    <n v="119.1859207969119"/>
    <n v="47.75"/>
    <n v="17.09375"/>
    <n v="55.561833"/>
    <n v="6521.318315250116"/>
    <n v="65.213183152501159"/>
    <n v="74.264772974068322"/>
    <n v="261"/>
    <n v="14.355"/>
    <n v="44.012430000000002"/>
    <n v="13452.342682760345"/>
    <n v="69.9762184726914"/>
    <n v="104.92195647900826"/>
    <n v="0"/>
    <n v="0"/>
    <n v="0"/>
    <n v="0"/>
    <n v="0"/>
    <n v="0"/>
    <n v="0"/>
    <n v="0"/>
    <n v="0"/>
  </r>
  <r>
    <x v="2"/>
    <x v="0"/>
    <n v="0"/>
    <n v="0"/>
    <n v="0"/>
    <n v="0"/>
    <n v="0"/>
    <n v="0"/>
    <n v="0"/>
    <n v="0"/>
    <n v="0"/>
    <n v="0"/>
    <n v="0"/>
    <n v="0"/>
    <n v="0"/>
    <n v="0"/>
    <n v="0"/>
    <n v="0"/>
    <n v="0"/>
    <n v="0"/>
    <n v="0"/>
    <n v="0"/>
    <n v="0"/>
    <n v="0"/>
    <n v="0"/>
    <n v="0"/>
    <n v="0"/>
    <n v="0"/>
    <n v="0"/>
    <n v="0"/>
    <n v="0"/>
    <n v="0"/>
    <n v="0"/>
    <n v="0"/>
    <n v="0"/>
    <n v="0"/>
    <n v="0"/>
    <n v="0"/>
    <n v="0"/>
    <n v="0"/>
    <n v="0"/>
    <n v="0"/>
    <n v="0"/>
    <n v="0"/>
    <n v="0"/>
    <n v="0"/>
    <n v="0"/>
    <n v="0"/>
    <n v="0"/>
    <n v="0"/>
    <n v="0"/>
    <n v="0"/>
    <n v="0"/>
    <n v="0"/>
    <n v="0"/>
    <n v="0"/>
    <n v="146.19738798505799"/>
    <n v="164.99295768930881"/>
    <n v="355.42368732906465"/>
    <n v="23.374015908007323"/>
    <n v="47.946438647728883"/>
    <n v="49.3213009269964"/>
    <n v="36.549346996264489"/>
    <n v="106.68437632128018"/>
    <n v="16.727946938271771"/>
  </r>
  <r>
    <x v="2"/>
    <x v="1"/>
    <n v="0"/>
    <n v="0"/>
    <n v="0"/>
    <n v="0"/>
    <n v="0"/>
    <n v="0"/>
    <n v="3"/>
    <n v="0.67500000000000004"/>
    <n v="1.2000000000000002"/>
    <n v="31"/>
    <n v="3.8150000000000004"/>
    <n v="16.979416009019168"/>
    <n v="1"/>
    <n v="20.3125"/>
    <n v="169.04062500000001"/>
    <n v="0"/>
    <n v="76.334752711546557"/>
    <n v="99.027184575314791"/>
    <n v="0"/>
    <n v="0.26790881458838534"/>
    <n v="3.1682896413222452"/>
    <n v="0"/>
    <n v="8.0504889934001622E-2"/>
    <n v="1.1636176791060595"/>
    <n v="0"/>
    <n v="1.3837028132754823"/>
    <n v="11.633353281982759"/>
    <n v="3855.9453929376023"/>
    <n v="7.7118907858752044"/>
    <n v="7.3957032636543207"/>
    <n v="764.25491837383197"/>
    <n v="4.3444113877862014"/>
    <n v="4.1662905208869665"/>
    <n v="3530.9453929376023"/>
    <n v="7.0618907858752049"/>
    <n v="4.9489730627413442"/>
    <n v="78.627359183408259"/>
    <n v="0.78627359183408263"/>
    <n v="0.55102053315732513"/>
    <n v="7151.1442321113518"/>
    <n v="71.51144232111352"/>
    <n v="78.305029341619303"/>
    <n v="26.828419897926032"/>
    <n v="8.2283653073841183"/>
    <n v="27.694444847269288"/>
    <n v="2763.1477858400176"/>
    <n v="27.631477858400174"/>
    <n v="31.466726985146121"/>
    <n v="165.90688979760594"/>
    <n v="9.1248789388683278"/>
    <n v="27.976878826570289"/>
    <n v="10644.110917659262"/>
    <n v="58.602633391450752"/>
    <n v="88.685451956017445"/>
    <n v="0"/>
    <n v="0"/>
    <n v="0"/>
    <n v="0"/>
    <n v="0"/>
    <n v="0"/>
    <n v="0"/>
    <n v="0"/>
    <n v="0"/>
  </r>
  <r>
    <x v="3"/>
    <x v="0"/>
    <n v="0"/>
    <n v="0"/>
    <n v="0"/>
    <n v="0"/>
    <n v="0"/>
    <n v="0"/>
    <n v="0"/>
    <n v="0"/>
    <n v="0"/>
    <n v="0"/>
    <n v="0"/>
    <n v="0"/>
    <n v="0"/>
    <n v="0"/>
    <n v="0"/>
    <n v="0"/>
    <n v="0"/>
    <n v="0"/>
    <n v="0"/>
    <n v="0"/>
    <n v="0"/>
    <n v="0"/>
    <n v="0"/>
    <n v="0"/>
    <n v="0"/>
    <n v="0"/>
    <n v="0"/>
    <n v="0"/>
    <n v="0"/>
    <n v="0"/>
    <n v="0"/>
    <n v="0"/>
    <n v="0"/>
    <n v="0"/>
    <n v="0"/>
    <n v="0"/>
    <n v="0"/>
    <n v="0"/>
    <n v="0"/>
    <n v="0"/>
    <n v="0"/>
    <n v="0"/>
    <n v="0"/>
    <n v="0"/>
    <n v="0"/>
    <n v="0"/>
    <n v="0"/>
    <n v="0"/>
    <n v="0"/>
    <n v="0"/>
    <n v="0"/>
    <n v="0"/>
    <n v="0"/>
    <n v="0"/>
    <n v="932.90649588738052"/>
    <n v="662.64400934932837"/>
    <n v="1384.8668873816923"/>
    <n v="153.80583244450372"/>
    <n v="208.39794065744991"/>
    <n v="191.93890080379629"/>
    <n v="233.22662397184513"/>
    <n v="533.16861607963915"/>
    <n v="63.399364137861767"/>
  </r>
  <r>
    <x v="3"/>
    <x v="1"/>
    <n v="12"/>
    <n v="50.400000000000006"/>
    <n v="180.23463925233648"/>
    <n v="221"/>
    <n v="552"/>
    <n v="1291"/>
    <n v="10"/>
    <n v="2.25"/>
    <n v="4"/>
    <n v="75"/>
    <n v="6.3810000000000002"/>
    <n v="28.432355326671118"/>
    <n v="1"/>
    <n v="20.3125"/>
    <n v="169.04062500000001"/>
    <n v="0"/>
    <n v="190.08674547549936"/>
    <n v="252.56778199820346"/>
    <n v="0"/>
    <n v="1.532964144697982"/>
    <n v="18.128833975198337"/>
    <n v="0"/>
    <n v="1.3623849509558801"/>
    <n v="19.691912081116293"/>
    <n v="0"/>
    <n v="5.5098771610320325"/>
    <n v="46.323782057565609"/>
    <n v="19250.077708438435"/>
    <n v="38.500155416876872"/>
    <n v="36.921649044784921"/>
    <n v="3446.3042724271968"/>
    <n v="20.194172185528323"/>
    <n v="19.366211125921666"/>
    <n v="16441.627708438435"/>
    <n v="32.883255416876871"/>
    <n v="23.044585396147308"/>
    <n v="442.53016467846822"/>
    <n v="4.425301646784682"/>
    <n v="3.1012513940667055"/>
    <n v="28946.904194810311"/>
    <n v="289.4690419481031"/>
    <n v="316.96860093317292"/>
    <n v="135.31627058480854"/>
    <n v="56.274542969157558"/>
    <n v="189.0667901690083"/>
    <n v="19972.109812856546"/>
    <n v="199.72109812856547"/>
    <n v="227.44238654881039"/>
    <n v="726.44352693718213"/>
    <n v="39.954393981545017"/>
    <n v="122.500171947417"/>
    <n v="3260.0160287442986"/>
    <n v="193.57800503087975"/>
    <n v="289.46577236234799"/>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2">
  <r>
    <x v="0"/>
    <x v="0"/>
    <n v="0"/>
    <n v="0"/>
    <n v="0"/>
    <n v="0"/>
    <n v="0"/>
    <n v="0"/>
    <n v="0"/>
    <n v="0"/>
    <n v="0"/>
    <n v="0"/>
    <n v="0"/>
    <n v="0"/>
    <n v="0"/>
    <n v="0"/>
    <n v="0"/>
    <n v="0"/>
    <n v="0"/>
    <n v="0"/>
    <n v="0"/>
    <n v="0"/>
    <n v="0"/>
    <n v="0"/>
    <n v="0"/>
    <n v="0"/>
    <n v="0"/>
    <n v="0"/>
    <n v="0"/>
    <n v="0"/>
    <n v="0"/>
    <n v="0"/>
    <n v="0"/>
    <n v="0"/>
    <n v="0"/>
    <n v="0"/>
    <n v="0"/>
    <n v="0"/>
    <n v="0"/>
    <n v="0"/>
    <n v="0"/>
    <n v="0"/>
    <n v="0"/>
    <n v="0"/>
    <n v="0"/>
    <n v="0"/>
    <n v="0"/>
    <n v="0"/>
    <n v="0"/>
    <n v="0"/>
    <n v="0"/>
    <n v="0"/>
    <n v="0"/>
    <n v="0"/>
    <n v="0"/>
    <n v="0"/>
    <n v="746.56802349365762"/>
    <n v="770.09279297918067"/>
    <n v="804.40634144452395"/>
  </r>
  <r>
    <x v="0"/>
    <x v="1"/>
    <n v="0"/>
    <n v="0"/>
    <n v="0"/>
    <n v="0"/>
    <n v="0"/>
    <n v="0"/>
    <n v="0"/>
    <n v="0"/>
    <n v="0"/>
    <n v="0"/>
    <n v="0"/>
    <n v="0"/>
    <n v="0"/>
    <n v="0"/>
    <n v="0"/>
    <n v="0"/>
    <n v="0"/>
    <n v="0"/>
    <n v="0"/>
    <n v="0"/>
    <n v="0"/>
    <n v="0"/>
    <n v="0"/>
    <n v="0"/>
    <n v="0"/>
    <n v="0"/>
    <n v="0"/>
    <n v="0"/>
    <n v="0"/>
    <n v="0"/>
    <n v="0"/>
    <n v="0"/>
    <n v="0"/>
    <n v="0"/>
    <n v="0"/>
    <n v="0"/>
    <n v="0"/>
    <n v="0"/>
    <n v="0"/>
    <n v="0"/>
    <n v="0"/>
    <n v="0"/>
    <n v="0"/>
    <n v="0"/>
    <n v="0"/>
    <n v="0"/>
    <n v="0"/>
    <n v="0"/>
    <n v="0"/>
    <n v="0"/>
    <n v="0"/>
    <n v="0"/>
    <n v="0"/>
    <n v="0"/>
    <n v="663.41719138240205"/>
    <n v="657.70199429400918"/>
    <n v="710.27368446697312"/>
  </r>
  <r>
    <x v="0"/>
    <x v="2"/>
    <n v="5"/>
    <n v="21"/>
    <n v="75.097766355140195"/>
    <n v="46"/>
    <n v="115"/>
    <n v="325"/>
    <n v="6"/>
    <n v="1.35"/>
    <n v="2.4000000000000004"/>
    <n v="27"/>
    <n v="1.478"/>
    <n v="6.5318310876632264"/>
    <n v="0"/>
    <n v="0"/>
    <n v="0"/>
    <n v="0"/>
    <n v="68.801203975509111"/>
    <n v="90.244514404768196"/>
    <n v="0"/>
    <n v="0.92140199560290881"/>
    <n v="10.8965"/>
    <n v="0"/>
    <n v="0.66376470065956361"/>
    <n v="9.5940549833333328"/>
    <n v="0"/>
    <n v="3.0220049940412008"/>
    <n v="25.40722717212417"/>
    <n v="10267.950000000001"/>
    <n v="20.535900000000002"/>
    <n v="19.693928100000001"/>
    <n v="1893"/>
    <n v="11.2"/>
    <n v="10.7408"/>
    <n v="9214.5"/>
    <n v="18.428999999999998"/>
    <n v="12.915043199999998"/>
    <n v="268"/>
    <n v="2.68"/>
    <n v="1.8781440000000005"/>
    <n v="15299.197432083361"/>
    <n v="152.99197432083363"/>
    <n v="167.52621188131283"/>
    <n v="71.5"/>
    <n v="33.606249999999996"/>
    <n v="115.0088355"/>
    <n v="11597.28055849361"/>
    <n v="115.97280558493611"/>
    <n v="132.06983100012525"/>
    <n v="395"/>
    <n v="21.725000000000001"/>
    <n v="66.608850000000004"/>
    <n v="21098.061723619623"/>
    <n v="109.30372250022732"/>
    <n v="163.77726871556209"/>
    <n v="0"/>
    <n v="0"/>
    <n v="0"/>
  </r>
  <r>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481.29555971417284"/>
    <n v="504.09301602345636"/>
    <n v="677.57991989263303"/>
  </r>
  <r>
    <x v="1"/>
    <x v="1"/>
    <n v="0"/>
    <n v="0"/>
    <n v="0"/>
    <n v="0"/>
    <n v="0"/>
    <n v="0"/>
    <n v="0"/>
    <n v="0"/>
    <n v="0"/>
    <n v="0"/>
    <n v="0"/>
    <n v="0"/>
    <n v="0"/>
    <n v="0"/>
    <n v="0"/>
    <n v="0"/>
    <n v="0"/>
    <n v="0"/>
    <n v="0"/>
    <n v="0"/>
    <n v="0"/>
    <n v="0"/>
    <n v="0"/>
    <n v="0"/>
    <n v="0"/>
    <n v="0"/>
    <n v="0"/>
    <n v="0"/>
    <n v="0"/>
    <n v="0"/>
    <n v="0"/>
    <n v="0"/>
    <n v="0"/>
    <n v="0"/>
    <n v="0"/>
    <n v="0"/>
    <n v="0"/>
    <n v="0"/>
    <n v="0"/>
    <n v="0"/>
    <n v="0"/>
    <n v="0"/>
    <n v="0"/>
    <n v="0"/>
    <n v="0"/>
    <n v="0"/>
    <n v="0"/>
    <n v="0"/>
    <n v="0"/>
    <n v="0"/>
    <n v="0"/>
    <n v="0"/>
    <n v="0"/>
    <n v="0"/>
    <n v="421.50552191840131"/>
    <n v="427.49714714142192"/>
    <n v="598.28865267115464"/>
  </r>
  <r>
    <x v="1"/>
    <x v="2"/>
    <n v="7"/>
    <n v="29.400000000000002"/>
    <n v="105.13687289719627"/>
    <n v="175"/>
    <n v="437"/>
    <n v="966"/>
    <n v="3"/>
    <n v="0.67500000000000004"/>
    <n v="1.2000000000000002"/>
    <n v="46"/>
    <n v="4.8930000000000007"/>
    <n v="21.853072153325819"/>
    <n v="0"/>
    <n v="0"/>
    <n v="0"/>
    <n v="0"/>
    <n v="92.058206086811296"/>
    <n v="120.41189130982447"/>
    <n v="0"/>
    <n v="0.4996617622188399"/>
    <n v="5.9089999999999998"/>
    <n v="0"/>
    <n v="0.66499512261119575"/>
    <n v="9.6118395022222227"/>
    <n v="0"/>
    <n v="1.915328301458487"/>
    <n v="16.102945349299134"/>
    <n v="7111.25"/>
    <n v="14.2225"/>
    <n v="13.6393775"/>
    <n v="1212"/>
    <n v="6.97"/>
    <n v="6.6842299999999994"/>
    <n v="5681.25"/>
    <n v="11.362500000000001"/>
    <n v="7.9628399999999999"/>
    <n v="128"/>
    <n v="1.28"/>
    <n v="0.89702400000000015"/>
    <n v="10884.558976886932"/>
    <n v="108.84558976886932"/>
    <n v="119.1859207969119"/>
    <n v="47.75"/>
    <n v="17.09375"/>
    <n v="55.561833"/>
    <n v="6521.318315250116"/>
    <n v="65.213183152501159"/>
    <n v="74.264772974068322"/>
    <n v="261"/>
    <n v="14.355"/>
    <n v="44.012430000000002"/>
    <n v="13452.342682760345"/>
    <n v="69.9762184726914"/>
    <n v="104.92195647900826"/>
    <n v="0"/>
    <n v="0"/>
    <n v="0"/>
  </r>
  <r>
    <x v="2"/>
    <x v="0"/>
    <n v="0"/>
    <n v="0"/>
    <n v="0"/>
    <n v="0"/>
    <n v="0"/>
    <n v="0"/>
    <n v="0"/>
    <n v="0"/>
    <n v="0"/>
    <n v="0"/>
    <n v="0"/>
    <n v="0"/>
    <n v="0"/>
    <n v="0"/>
    <n v="0"/>
    <n v="0"/>
    <n v="0"/>
    <n v="0"/>
    <n v="0"/>
    <n v="0"/>
    <n v="0"/>
    <n v="0"/>
    <n v="0"/>
    <n v="0"/>
    <n v="0"/>
    <n v="0"/>
    <n v="0"/>
    <n v="0"/>
    <n v="0"/>
    <n v="0"/>
    <n v="0"/>
    <n v="0"/>
    <n v="0"/>
    <n v="0"/>
    <n v="0"/>
    <n v="0"/>
    <n v="0"/>
    <n v="0"/>
    <n v="0"/>
    <n v="0"/>
    <n v="0"/>
    <n v="0"/>
    <n v="0"/>
    <n v="0"/>
    <n v="0"/>
    <n v="0"/>
    <n v="0"/>
    <n v="0"/>
    <n v="0"/>
    <n v="0"/>
    <n v="0"/>
    <n v="0"/>
    <n v="0"/>
    <n v="0"/>
    <n v="206.12075088932974"/>
    <n v="319.62377265831788"/>
    <n v="421.47293519433288"/>
  </r>
  <r>
    <x v="2"/>
    <x v="1"/>
    <n v="0"/>
    <n v="0"/>
    <n v="0"/>
    <n v="0"/>
    <n v="0"/>
    <n v="0"/>
    <n v="0"/>
    <n v="0"/>
    <n v="0"/>
    <n v="0"/>
    <n v="0"/>
    <n v="0"/>
    <n v="0"/>
    <n v="0"/>
    <n v="0"/>
    <n v="0"/>
    <n v="0"/>
    <n v="0"/>
    <n v="0"/>
    <n v="0"/>
    <n v="0"/>
    <n v="0"/>
    <n v="0"/>
    <n v="0"/>
    <n v="0"/>
    <n v="0"/>
    <n v="0"/>
    <n v="0"/>
    <n v="0"/>
    <n v="0"/>
    <n v="0"/>
    <n v="0"/>
    <n v="0"/>
    <n v="0"/>
    <n v="0"/>
    <n v="0"/>
    <n v="0"/>
    <n v="0"/>
    <n v="0"/>
    <n v="0"/>
    <n v="0"/>
    <n v="0"/>
    <n v="0"/>
    <n v="0"/>
    <n v="0"/>
    <n v="0"/>
    <n v="0"/>
    <n v="0"/>
    <n v="0"/>
    <n v="0"/>
    <n v="0"/>
    <n v="0"/>
    <n v="0"/>
    <n v="0"/>
    <n v="182.74673498132245"/>
    <n v="271.67733401058899"/>
    <n v="372.15163426733642"/>
  </r>
  <r>
    <x v="2"/>
    <x v="2"/>
    <n v="0"/>
    <n v="0"/>
    <n v="0"/>
    <n v="0"/>
    <n v="0"/>
    <n v="0"/>
    <n v="3"/>
    <n v="0.67500000000000004"/>
    <n v="1.2000000000000002"/>
    <n v="31"/>
    <n v="3.8150000000000004"/>
    <n v="16.979416009019168"/>
    <n v="1"/>
    <n v="20.3125"/>
    <n v="169.04062500000001"/>
    <n v="0"/>
    <n v="76.334752711546557"/>
    <n v="99.027184575314791"/>
    <n v="0"/>
    <n v="0.26790881458838534"/>
    <n v="3.1682896413222452"/>
    <n v="0"/>
    <n v="8.0504889934001622E-2"/>
    <n v="1.1636176791060595"/>
    <n v="0"/>
    <n v="1.3837028132754823"/>
    <n v="11.633353281982759"/>
    <n v="3855.9453929376023"/>
    <n v="7.7118907858752044"/>
    <n v="7.3957032636543207"/>
    <n v="764.25491837383197"/>
    <n v="4.3444113877862014"/>
    <n v="4.1662905208869665"/>
    <n v="3530.9453929376023"/>
    <n v="7.0618907858752049"/>
    <n v="4.9489730627413442"/>
    <n v="78.627359183408259"/>
    <n v="0.78627359183408263"/>
    <n v="0.55102053315732513"/>
    <n v="7151.1442321113518"/>
    <n v="71.51144232111352"/>
    <n v="78.305029341619303"/>
    <n v="26.828419897926032"/>
    <n v="8.2283653073841183"/>
    <n v="27.694444847269288"/>
    <n v="2763.1477858400176"/>
    <n v="27.631477858400174"/>
    <n v="31.466726985146121"/>
    <n v="165.90688979760594"/>
    <n v="9.1248789388683278"/>
    <n v="27.976878826570289"/>
    <n v="10644.110917659262"/>
    <n v="58.602633391450752"/>
    <n v="88.685451956017445"/>
    <n v="0"/>
    <n v="0"/>
    <n v="0"/>
  </r>
  <r>
    <x v="3"/>
    <x v="0"/>
    <n v="0"/>
    <n v="0"/>
    <n v="0"/>
    <n v="0"/>
    <n v="0"/>
    <n v="0"/>
    <n v="0"/>
    <n v="0"/>
    <n v="0"/>
    <n v="0"/>
    <n v="0"/>
    <n v="0"/>
    <n v="0"/>
    <n v="0"/>
    <n v="0"/>
    <n v="0"/>
    <n v="0"/>
    <n v="0"/>
    <n v="0"/>
    <n v="0"/>
    <n v="0"/>
    <n v="0"/>
    <n v="0"/>
    <n v="0"/>
    <n v="0"/>
    <n v="0"/>
    <n v="0"/>
    <n v="0"/>
    <n v="0"/>
    <n v="0"/>
    <n v="0"/>
    <n v="0"/>
    <n v="0"/>
    <n v="0"/>
    <n v="0"/>
    <n v="0"/>
    <n v="0"/>
    <n v="0"/>
    <n v="0"/>
    <n v="0"/>
    <n v="0"/>
    <n v="0"/>
    <n v="0"/>
    <n v="0"/>
    <n v="0"/>
    <n v="0"/>
    <n v="0"/>
    <n v="0"/>
    <n v="0"/>
    <n v="0"/>
    <n v="0"/>
    <n v="0"/>
    <n v="0"/>
    <n v="0"/>
    <n v="1319.9389523037294"/>
    <n v="1404.2105660864174"/>
    <n v="1640.2051523233504"/>
  </r>
  <r>
    <x v="3"/>
    <x v="1"/>
    <n v="0"/>
    <n v="0"/>
    <n v="0"/>
    <n v="0"/>
    <n v="0"/>
    <n v="0"/>
    <n v="0"/>
    <n v="0"/>
    <n v="0"/>
    <n v="0"/>
    <n v="0"/>
    <n v="0"/>
    <n v="0"/>
    <n v="0"/>
    <n v="0"/>
    <n v="0"/>
    <n v="0"/>
    <n v="0"/>
    <n v="0"/>
    <n v="0"/>
    <n v="0"/>
    <n v="0"/>
    <n v="0"/>
    <n v="0"/>
    <n v="0"/>
    <n v="0"/>
    <n v="0"/>
    <n v="0"/>
    <n v="0"/>
    <n v="0"/>
    <n v="0"/>
    <n v="0"/>
    <n v="0"/>
    <n v="0"/>
    <n v="0"/>
    <n v="0"/>
    <n v="0"/>
    <n v="0"/>
    <n v="0"/>
    <n v="0"/>
    <n v="0"/>
    <n v="0"/>
    <n v="0"/>
    <n v="0"/>
    <n v="0"/>
    <n v="0"/>
    <n v="0"/>
    <n v="0"/>
    <n v="0"/>
    <n v="0"/>
    <n v="0"/>
    <n v="0"/>
    <n v="0"/>
    <n v="0"/>
    <n v="1166.1331198592256"/>
    <n v="1195.8126254289675"/>
    <n v="1448.2662515195541"/>
  </r>
  <r>
    <x v="3"/>
    <x v="2"/>
    <n v="12"/>
    <n v="50.400000000000006"/>
    <n v="180.23463925233648"/>
    <n v="221"/>
    <n v="552"/>
    <n v="1291"/>
    <n v="10"/>
    <n v="2.25"/>
    <n v="4"/>
    <n v="75"/>
    <n v="6.3810000000000002"/>
    <n v="28.432355326671118"/>
    <n v="1"/>
    <n v="20.3125"/>
    <n v="169.04062500000001"/>
    <n v="0"/>
    <n v="190.08674547549936"/>
    <n v="252.56778199820346"/>
    <n v="0"/>
    <n v="1.532964144697982"/>
    <n v="18.128833975198337"/>
    <n v="0"/>
    <n v="1.3623849509558801"/>
    <n v="19.691912081116293"/>
    <n v="0"/>
    <n v="5.5098771610320325"/>
    <n v="46.323782057565609"/>
    <n v="19250.077708438435"/>
    <n v="38.500155416876872"/>
    <n v="36.921649044784921"/>
    <n v="3446.3042724271968"/>
    <n v="20.194172185528323"/>
    <n v="19.366211125921666"/>
    <n v="16441.627708438435"/>
    <n v="32.883255416876871"/>
    <n v="23.044585396147308"/>
    <n v="442.53016467846822"/>
    <n v="4.425301646784682"/>
    <n v="3.1012513940667055"/>
    <n v="28946.904194810311"/>
    <n v="289.4690419481031"/>
    <n v="316.96860093317292"/>
    <n v="135.31627058480854"/>
    <n v="56.274542969157558"/>
    <n v="189.0667901690083"/>
    <n v="19972.109812856546"/>
    <n v="199.72109812856547"/>
    <n v="227.44238654881039"/>
    <n v="726.44352693718213"/>
    <n v="39.954393981545017"/>
    <n v="122.500171947417"/>
    <n v="3260.0160287442986"/>
    <n v="193.57800503087975"/>
    <n v="289.46577236234799"/>
    <n v="0"/>
    <n v="0"/>
    <n v="0"/>
  </r>
</pivotCacheRecords>
</file>

<file path=xl/pivotCache/pivotCacheRecords3.xml><?xml version="1.0" encoding="utf-8"?>
<pivotCacheRecords xmlns="http://schemas.openxmlformats.org/spreadsheetml/2006/main" xmlns:r="http://schemas.openxmlformats.org/officeDocument/2006/relationships" count="72">
  <r>
    <x v="0"/>
    <x v="0"/>
    <n v="5"/>
    <n v="21"/>
    <n v="75.097766355140195"/>
  </r>
  <r>
    <x v="0"/>
    <x v="1"/>
    <n v="7"/>
    <n v="29.400000000000002"/>
    <n v="105.13687289719627"/>
  </r>
  <r>
    <x v="0"/>
    <x v="2"/>
    <n v="0"/>
    <n v="0"/>
    <n v="0"/>
  </r>
  <r>
    <x v="0"/>
    <x v="3"/>
    <n v="12"/>
    <n v="50.400000000000006"/>
    <n v="180.23463925233648"/>
  </r>
  <r>
    <x v="1"/>
    <x v="0"/>
    <n v="46"/>
    <n v="115"/>
    <n v="325"/>
  </r>
  <r>
    <x v="1"/>
    <x v="1"/>
    <n v="175"/>
    <n v="437"/>
    <n v="966"/>
  </r>
  <r>
    <x v="1"/>
    <x v="2"/>
    <n v="0"/>
    <n v="0"/>
    <n v="0"/>
  </r>
  <r>
    <x v="1"/>
    <x v="3"/>
    <n v="221"/>
    <n v="552"/>
    <n v="1291"/>
  </r>
  <r>
    <x v="2"/>
    <x v="0"/>
    <n v="6"/>
    <n v="1.35"/>
    <n v="2.4000000000000004"/>
  </r>
  <r>
    <x v="2"/>
    <x v="1"/>
    <n v="3"/>
    <n v="0.67500000000000004"/>
    <n v="1.2000000000000002"/>
  </r>
  <r>
    <x v="2"/>
    <x v="2"/>
    <n v="3"/>
    <n v="0.67500000000000004"/>
    <n v="1.2000000000000002"/>
  </r>
  <r>
    <x v="2"/>
    <x v="3"/>
    <n v="10"/>
    <n v="2.25"/>
    <n v="4"/>
  </r>
  <r>
    <x v="3"/>
    <x v="0"/>
    <n v="27"/>
    <n v="1.478"/>
    <n v="6.5318310876632264"/>
  </r>
  <r>
    <x v="3"/>
    <x v="1"/>
    <n v="46"/>
    <n v="4.8930000000000007"/>
    <n v="21.853072153325819"/>
  </r>
  <r>
    <x v="3"/>
    <x v="2"/>
    <n v="31"/>
    <n v="3.8150000000000004"/>
    <n v="16.979416009019168"/>
  </r>
  <r>
    <x v="3"/>
    <x v="3"/>
    <n v="75"/>
    <n v="6.3810000000000002"/>
    <n v="28.432355326671118"/>
  </r>
  <r>
    <x v="4"/>
    <x v="0"/>
    <n v="0"/>
    <n v="0"/>
    <n v="0"/>
  </r>
  <r>
    <x v="4"/>
    <x v="1"/>
    <n v="0"/>
    <n v="0"/>
    <n v="0"/>
  </r>
  <r>
    <x v="4"/>
    <x v="2"/>
    <n v="1"/>
    <n v="20.3125"/>
    <n v="169.04062500000001"/>
  </r>
  <r>
    <x v="4"/>
    <x v="3"/>
    <n v="1"/>
    <n v="20.3125"/>
    <n v="169.04062500000001"/>
  </r>
  <r>
    <x v="5"/>
    <x v="0"/>
    <n v="0"/>
    <n v="68.801203975509111"/>
    <n v="90.244514404768196"/>
  </r>
  <r>
    <x v="5"/>
    <x v="1"/>
    <n v="0"/>
    <n v="92.058206086811296"/>
    <n v="120.41189130982447"/>
  </r>
  <r>
    <x v="5"/>
    <x v="2"/>
    <n v="0"/>
    <n v="76.334752711546557"/>
    <n v="99.027184575314791"/>
  </r>
  <r>
    <x v="5"/>
    <x v="3"/>
    <n v="0"/>
    <n v="190.08674547549936"/>
    <n v="252.56778199820346"/>
  </r>
  <r>
    <x v="6"/>
    <x v="0"/>
    <n v="0"/>
    <n v="0.92140199560290881"/>
    <n v="10.8965"/>
  </r>
  <r>
    <x v="6"/>
    <x v="1"/>
    <n v="0"/>
    <n v="0.4996617622188399"/>
    <n v="5.9089999999999998"/>
  </r>
  <r>
    <x v="6"/>
    <x v="2"/>
    <n v="0"/>
    <n v="0.26790881458838534"/>
    <n v="3.1682896413222452"/>
  </r>
  <r>
    <x v="6"/>
    <x v="3"/>
    <n v="0"/>
    <n v="1.532964144697982"/>
    <n v="18.128833975198337"/>
  </r>
  <r>
    <x v="7"/>
    <x v="0"/>
    <n v="0"/>
    <n v="0.66376470065956361"/>
    <n v="9.5940549833333328"/>
  </r>
  <r>
    <x v="7"/>
    <x v="1"/>
    <n v="0"/>
    <n v="0.66499512261119575"/>
    <n v="9.6118395022222227"/>
  </r>
  <r>
    <x v="7"/>
    <x v="2"/>
    <n v="0"/>
    <n v="8.0504889934001622E-2"/>
    <n v="1.1636176791060595"/>
  </r>
  <r>
    <x v="7"/>
    <x v="3"/>
    <n v="0"/>
    <n v="1.3623849509558801"/>
    <n v="19.691912081116293"/>
  </r>
  <r>
    <x v="8"/>
    <x v="0"/>
    <n v="0"/>
    <n v="3.0220049940412008"/>
    <n v="25.40722717212417"/>
  </r>
  <r>
    <x v="8"/>
    <x v="1"/>
    <n v="0"/>
    <n v="1.915328301458487"/>
    <n v="16.102945349299134"/>
  </r>
  <r>
    <x v="8"/>
    <x v="2"/>
    <n v="0"/>
    <n v="1.3837028132754823"/>
    <n v="11.633353281982759"/>
  </r>
  <r>
    <x v="8"/>
    <x v="3"/>
    <n v="0"/>
    <n v="5.5098771610320325"/>
    <n v="46.323782057565609"/>
  </r>
  <r>
    <x v="9"/>
    <x v="0"/>
    <n v="10267.950000000001"/>
    <n v="20.535900000000002"/>
    <n v="19.693928100000001"/>
  </r>
  <r>
    <x v="9"/>
    <x v="1"/>
    <n v="7111.25"/>
    <n v="14.2225"/>
    <n v="13.6393775"/>
  </r>
  <r>
    <x v="9"/>
    <x v="2"/>
    <n v="3855.9453929376023"/>
    <n v="7.7118907858752044"/>
    <n v="7.3957032636543207"/>
  </r>
  <r>
    <x v="9"/>
    <x v="3"/>
    <n v="19250.077708438435"/>
    <n v="38.500155416876872"/>
    <n v="36.921649044784921"/>
  </r>
  <r>
    <x v="10"/>
    <x v="0"/>
    <n v="1893"/>
    <n v="11.2"/>
    <n v="10.7408"/>
  </r>
  <r>
    <x v="10"/>
    <x v="1"/>
    <n v="1212"/>
    <n v="6.97"/>
    <n v="6.6842299999999994"/>
  </r>
  <r>
    <x v="10"/>
    <x v="2"/>
    <n v="764.25491837383197"/>
    <n v="4.3444113877862014"/>
    <n v="4.1662905208869665"/>
  </r>
  <r>
    <x v="10"/>
    <x v="3"/>
    <n v="3446.3042724271968"/>
    <n v="20.194172185528323"/>
    <n v="19.366211125921666"/>
  </r>
  <r>
    <x v="11"/>
    <x v="0"/>
    <n v="9214.5"/>
    <n v="18.428999999999998"/>
    <n v="12.915043199999998"/>
  </r>
  <r>
    <x v="11"/>
    <x v="1"/>
    <n v="5681.25"/>
    <n v="11.362500000000001"/>
    <n v="7.9628399999999999"/>
  </r>
  <r>
    <x v="11"/>
    <x v="2"/>
    <n v="3530.9453929376023"/>
    <n v="7.0618907858752049"/>
    <n v="4.9489730627413442"/>
  </r>
  <r>
    <x v="11"/>
    <x v="3"/>
    <n v="16441.627708438435"/>
    <n v="32.883255416876871"/>
    <n v="23.044585396147308"/>
  </r>
  <r>
    <x v="12"/>
    <x v="0"/>
    <n v="268"/>
    <n v="2.68"/>
    <n v="1.8781440000000005"/>
  </r>
  <r>
    <x v="12"/>
    <x v="1"/>
    <n v="128"/>
    <n v="1.28"/>
    <n v="0.89702400000000015"/>
  </r>
  <r>
    <x v="12"/>
    <x v="2"/>
    <n v="78.627359183408259"/>
    <n v="0.78627359183408263"/>
    <n v="0.55102053315732513"/>
  </r>
  <r>
    <x v="12"/>
    <x v="3"/>
    <n v="442.53016467846822"/>
    <n v="4.425301646784682"/>
    <n v="3.1012513940667055"/>
  </r>
  <r>
    <x v="13"/>
    <x v="0"/>
    <n v="15299.197432083361"/>
    <n v="152.99197432083363"/>
    <n v="167.52621188131283"/>
  </r>
  <r>
    <x v="13"/>
    <x v="1"/>
    <n v="10884.558976886932"/>
    <n v="108.84558976886932"/>
    <n v="119.1859207969119"/>
  </r>
  <r>
    <x v="13"/>
    <x v="2"/>
    <n v="7151.1442321113518"/>
    <n v="71.51144232111352"/>
    <n v="78.305029341619303"/>
  </r>
  <r>
    <x v="13"/>
    <x v="3"/>
    <n v="28946.904194810311"/>
    <n v="289.4690419481031"/>
    <n v="316.96860093317292"/>
  </r>
  <r>
    <x v="14"/>
    <x v="0"/>
    <n v="71.5"/>
    <n v="33.606249999999996"/>
    <n v="115.0088355"/>
  </r>
  <r>
    <x v="14"/>
    <x v="1"/>
    <n v="47.75"/>
    <n v="17.09375"/>
    <n v="55.561833"/>
  </r>
  <r>
    <x v="14"/>
    <x v="2"/>
    <n v="26.828419897926032"/>
    <n v="8.2283653073841183"/>
    <n v="27.694444847269288"/>
  </r>
  <r>
    <x v="14"/>
    <x v="3"/>
    <n v="135.31627058480854"/>
    <n v="56.274542969157558"/>
    <n v="189.0667901690083"/>
  </r>
  <r>
    <x v="15"/>
    <x v="0"/>
    <n v="11597.28055849361"/>
    <n v="115.97280558493611"/>
    <n v="132.06983100012525"/>
  </r>
  <r>
    <x v="15"/>
    <x v="1"/>
    <n v="6521.318315250116"/>
    <n v="65.213183152501159"/>
    <n v="74.264772974068322"/>
  </r>
  <r>
    <x v="15"/>
    <x v="2"/>
    <n v="2763.1477858400176"/>
    <n v="27.631477858400174"/>
    <n v="31.466726985146121"/>
  </r>
  <r>
    <x v="15"/>
    <x v="3"/>
    <n v="19972.109812856546"/>
    <n v="199.72109812856547"/>
    <n v="227.44238654881039"/>
  </r>
  <r>
    <x v="16"/>
    <x v="0"/>
    <n v="395"/>
    <n v="21.725000000000001"/>
    <n v="66.608850000000004"/>
  </r>
  <r>
    <x v="16"/>
    <x v="1"/>
    <n v="261"/>
    <n v="14.355"/>
    <n v="44.012430000000002"/>
  </r>
  <r>
    <x v="16"/>
    <x v="2"/>
    <n v="165.90688979760594"/>
    <n v="9.1248789388683278"/>
    <n v="27.976878826570289"/>
  </r>
  <r>
    <x v="16"/>
    <x v="3"/>
    <n v="726.44352693718213"/>
    <n v="39.954393981545017"/>
    <n v="122.500171947417"/>
  </r>
  <r>
    <x v="17"/>
    <x v="0"/>
    <n v="21098.061723619623"/>
    <n v="109.30372250022732"/>
    <n v="163.77726871556209"/>
  </r>
  <r>
    <x v="17"/>
    <x v="1"/>
    <n v="13452.342682760345"/>
    <n v="69.9762184726914"/>
    <n v="104.92195647900826"/>
  </r>
  <r>
    <x v="17"/>
    <x v="2"/>
    <n v="10644.110917659262"/>
    <n v="58.602633391450752"/>
    <n v="88.685451956017445"/>
  </r>
  <r>
    <x v="17"/>
    <x v="3"/>
    <n v="3260.0160287442986"/>
    <n v="193.57800503087975"/>
    <n v="289.4657723623479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7"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chartFormat="10">
  <location ref="A3:B22" firstHeaderRow="1" firstDataRow="1" firstDataCol="1" rowPageCount="1" colPageCount="1"/>
  <pivotFields count="5">
    <pivotField axis="axisRow" showAll="0">
      <items count="20">
        <item x="1"/>
        <item m="1" x="18"/>
        <item x="2"/>
        <item x="17"/>
        <item x="5"/>
        <item x="6"/>
        <item x="7"/>
        <item x="8"/>
        <item x="3"/>
        <item x="4"/>
        <item x="0"/>
        <item x="9"/>
        <item x="10"/>
        <item x="11"/>
        <item x="12"/>
        <item x="13"/>
        <item x="14"/>
        <item x="15"/>
        <item x="16"/>
        <item t="default"/>
      </items>
    </pivotField>
    <pivotField axis="axisPage" showAll="0">
      <items count="5">
        <item x="2"/>
        <item x="0"/>
        <item x="3"/>
        <item x="1"/>
        <item t="default"/>
      </items>
    </pivotField>
    <pivotField numFmtId="1" showAll="0"/>
    <pivotField numFmtId="1" showAll="0"/>
    <pivotField dataField="1" numFmtId="1" showAll="0"/>
  </pivotFields>
  <rowFields count="1">
    <field x="0"/>
  </rowFields>
  <rowItems count="19">
    <i>
      <x/>
    </i>
    <i>
      <x v="2"/>
    </i>
    <i>
      <x v="3"/>
    </i>
    <i>
      <x v="4"/>
    </i>
    <i>
      <x v="5"/>
    </i>
    <i>
      <x v="6"/>
    </i>
    <i>
      <x v="7"/>
    </i>
    <i>
      <x v="8"/>
    </i>
    <i>
      <x v="9"/>
    </i>
    <i>
      <x v="10"/>
    </i>
    <i>
      <x v="11"/>
    </i>
    <i>
      <x v="12"/>
    </i>
    <i>
      <x v="13"/>
    </i>
    <i>
      <x v="14"/>
    </i>
    <i>
      <x v="15"/>
    </i>
    <i>
      <x v="16"/>
    </i>
    <i>
      <x v="17"/>
    </i>
    <i>
      <x v="18"/>
    </i>
    <i t="grand">
      <x/>
    </i>
  </rowItems>
  <colItems count="1">
    <i/>
  </colItems>
  <pageFields count="1">
    <pageField fld="1" item="2" hier="-1"/>
  </pageFields>
  <dataFields count="1">
    <dataField name="Sum of Energy (GWh)" fld="4" baseField="0" baseItem="0" numFmtId="1"/>
  </dataFields>
  <formats count="1">
    <format dxfId="0">
      <pivotArea outline="0" collapsedLevelsAreSubtotals="1" fieldPosition="0"/>
    </format>
  </formats>
  <chartFormats count="2">
    <chartFormat chart="1"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43"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chartFormat="13">
  <location ref="A1:V19" firstHeaderRow="1" firstDataRow="2" firstDataCol="1"/>
  <pivotFields count="59">
    <pivotField axis="axisRow" showAll="0">
      <items count="5">
        <item x="0"/>
        <item x="1"/>
        <item x="2"/>
        <item x="3"/>
        <item t="default"/>
      </items>
    </pivotField>
    <pivotField axis="axisRow" showAll="0" defaultSubtotal="0">
      <items count="12">
        <item m="1" x="9"/>
        <item m="1" x="8"/>
        <item m="1" x="10"/>
        <item m="1" x="5"/>
        <item m="1" x="6"/>
        <item m="1" x="7"/>
        <item m="1" x="11"/>
        <item m="1" x="4"/>
        <item m="1" x="3"/>
        <item x="0"/>
        <item x="1"/>
        <item x="2"/>
      </items>
    </pivotField>
    <pivotField showAll="0"/>
    <pivotField showAll="0"/>
    <pivotField dataField="1" showAll="0"/>
    <pivotField showAll="0"/>
    <pivotField showAll="0"/>
    <pivotField dataField="1" showAll="0"/>
    <pivotField showAll="0" defaultSubtotal="0"/>
    <pivotField showAll="0" defaultSubtotal="0"/>
    <pivotField dataField="1" showAll="0" defaultSubtota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defaultSubtotal="0"/>
    <pivotField showAll="0" defaultSubtotal="0"/>
    <pivotField dataField="1" showAll="0" defaultSubtota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dataField="1" numFmtId="1" showAll="0"/>
    <pivotField dataField="1" numFmtId="1" showAll="0"/>
    <pivotField dataField="1" numFmtId="1" showAll="0"/>
  </pivotFields>
  <rowFields count="2">
    <field x="0"/>
    <field x="1"/>
  </rowFields>
  <rowItems count="17">
    <i>
      <x/>
    </i>
    <i r="1">
      <x v="9"/>
    </i>
    <i r="1">
      <x v="10"/>
    </i>
    <i r="1">
      <x v="11"/>
    </i>
    <i>
      <x v="1"/>
    </i>
    <i r="1">
      <x v="9"/>
    </i>
    <i r="1">
      <x v="10"/>
    </i>
    <i r="1">
      <x v="11"/>
    </i>
    <i>
      <x v="2"/>
    </i>
    <i r="1">
      <x v="9"/>
    </i>
    <i r="1">
      <x v="10"/>
    </i>
    <i r="1">
      <x v="11"/>
    </i>
    <i>
      <x v="3"/>
    </i>
    <i r="1">
      <x v="9"/>
    </i>
    <i r="1">
      <x v="10"/>
    </i>
    <i r="1">
      <x v="11"/>
    </i>
    <i t="grand">
      <x/>
    </i>
  </rowItems>
  <colFields count="1">
    <field x="-2"/>
  </colFields>
  <colItems count="21">
    <i>
      <x/>
    </i>
    <i i="1">
      <x v="1"/>
    </i>
    <i i="2">
      <x v="2"/>
    </i>
    <i i="3">
      <x v="3"/>
    </i>
    <i i="4">
      <x v="4"/>
    </i>
    <i i="5">
      <x v="5"/>
    </i>
    <i i="6">
      <x v="6"/>
    </i>
    <i i="7">
      <x v="7"/>
    </i>
    <i i="8">
      <x v="8"/>
    </i>
    <i i="9">
      <x v="9"/>
    </i>
    <i i="10">
      <x v="10"/>
    </i>
    <i i="11">
      <x v="11"/>
    </i>
    <i i="12">
      <x v="12"/>
    </i>
    <i i="13">
      <x v="13"/>
    </i>
    <i i="14">
      <x v="14"/>
    </i>
    <i i="15">
      <x v="15"/>
    </i>
    <i i="16">
      <x v="16"/>
    </i>
    <i i="17">
      <x v="17"/>
    </i>
    <i i="18">
      <x v="18"/>
    </i>
    <i i="19">
      <x v="19"/>
    </i>
    <i i="20">
      <x v="20"/>
    </i>
  </colItems>
  <dataFields count="21">
    <dataField name="Sum of Hydro: Energy (GWh)" fld="13" baseField="0" baseItem="0"/>
    <dataField name="Sum of Geothermal: Energy (GWh)" fld="16" baseField="0" baseItem="0"/>
    <dataField name="Sum of Clean Wood: Energy (GWh)" fld="19" baseField="0" baseItem="0"/>
    <dataField name="Sum of Treated Wood: Energy (GWh)" fld="22" baseField="0" baseItem="0"/>
    <dataField name="Sum of Wet Biomass: Energy (GWh)" fld="25" baseField="0" baseItem="0"/>
    <dataField name="Sum of Residual Waste: Energy (GWh)" fld="28" baseField="0" baseItem="0"/>
    <dataField name="Sum of PV Farms: Energy (GWh)" fld="4" baseField="0" baseItem="0"/>
    <dataField name="Sum of Domestic PV: Energy (GWh)" fld="31" baseField="0" baseItem="0"/>
    <dataField name="Sum of Non-domestic PV: Energy (GWh)" fld="34" baseField="0" baseItem="0"/>
    <dataField name="Sum of Domestic SWH: Energy (GWh)" fld="37" baseField="0" baseItem="0"/>
    <dataField name="Sum of Non-domestic SWH: Energy (GWh)" fld="40" baseField="0" baseItem="0"/>
    <dataField name="Sum of Domestic biomass: Energy (GWh)" fld="43" baseField="0" baseItem="0"/>
    <dataField name="Sum of Non-domestic biomass: Energy (GWh)" fld="46" baseField="0" baseItem="0"/>
    <dataField name="Sum of Domestic Heat Pumps: Energy (GWh)" fld="49" baseField="0" baseItem="0"/>
    <dataField name="Sum of Non-domestic heat pumps: Energy (GWh)" fld="52" baseField="0" baseItem="0"/>
    <dataField name="Sum of Micro Wind: Energy (GWh)" fld="55" baseField="0" baseItem="0"/>
    <dataField name="Sum of Medium Scale Wind: Energy (GWh)" fld="10" baseField="0" baseItem="0"/>
    <dataField name="Sum of Large Scale Wind: Energy (GWh)" fld="7" baseField="0" baseItem="0"/>
    <dataField name="Sum of Non-Domestic Demand (GWh)" fld="56" baseField="0" baseItem="0"/>
    <dataField name="Sum of Domestic Demand (GWh)" fld="57" baseField="0" baseItem="0"/>
    <dataField name="Sum of Transport Demand (GWh)" fld="58" baseField="0" baseItem="0"/>
  </dataFields>
  <chartFormats count="38">
    <chartFormat chart="1" format="19" series="1">
      <pivotArea type="data" outline="0" fieldPosition="0">
        <references count="1">
          <reference field="4294967294" count="1" selected="0">
            <x v="17"/>
          </reference>
        </references>
      </pivotArea>
    </chartFormat>
    <chartFormat chart="1" format="21" series="1">
      <pivotArea type="data" outline="0" fieldPosition="0">
        <references count="1">
          <reference field="4294967294" count="1" selected="0">
            <x v="0"/>
          </reference>
        </references>
      </pivotArea>
    </chartFormat>
    <chartFormat chart="1" format="22" series="1">
      <pivotArea type="data" outline="0" fieldPosition="0">
        <references count="1">
          <reference field="4294967294" count="1" selected="0">
            <x v="1"/>
          </reference>
        </references>
      </pivotArea>
    </chartFormat>
    <chartFormat chart="1" format="23" series="1">
      <pivotArea type="data" outline="0" fieldPosition="0">
        <references count="1">
          <reference field="4294967294" count="1" selected="0">
            <x v="2"/>
          </reference>
        </references>
      </pivotArea>
    </chartFormat>
    <chartFormat chart="1" format="24" series="1">
      <pivotArea type="data" outline="0" fieldPosition="0">
        <references count="1">
          <reference field="4294967294" count="1" selected="0">
            <x v="3"/>
          </reference>
        </references>
      </pivotArea>
    </chartFormat>
    <chartFormat chart="1" format="25" series="1">
      <pivotArea type="data" outline="0" fieldPosition="0">
        <references count="1">
          <reference field="4294967294" count="1" selected="0">
            <x v="4"/>
          </reference>
        </references>
      </pivotArea>
    </chartFormat>
    <chartFormat chart="1" format="26" series="1">
      <pivotArea type="data" outline="0" fieldPosition="0">
        <references count="1">
          <reference field="4294967294" count="1" selected="0">
            <x v="7"/>
          </reference>
        </references>
      </pivotArea>
    </chartFormat>
    <chartFormat chart="1" format="27" series="1">
      <pivotArea type="data" outline="0" fieldPosition="0">
        <references count="1">
          <reference field="4294967294" count="1" selected="0">
            <x v="8"/>
          </reference>
        </references>
      </pivotArea>
    </chartFormat>
    <chartFormat chart="1" format="28" series="1">
      <pivotArea type="data" outline="0" fieldPosition="0">
        <references count="1">
          <reference field="4294967294" count="1" selected="0">
            <x v="9"/>
          </reference>
        </references>
      </pivotArea>
    </chartFormat>
    <chartFormat chart="1" format="29" series="1">
      <pivotArea type="data" outline="0" fieldPosition="0">
        <references count="1">
          <reference field="4294967294" count="1" selected="0">
            <x v="10"/>
          </reference>
        </references>
      </pivotArea>
    </chartFormat>
    <chartFormat chart="1" format="30" series="1">
      <pivotArea type="data" outline="0" fieldPosition="0">
        <references count="1">
          <reference field="4294967294" count="1" selected="0">
            <x v="11"/>
          </reference>
        </references>
      </pivotArea>
    </chartFormat>
    <chartFormat chart="1" format="31" series="1">
      <pivotArea type="data" outline="0" fieldPosition="0">
        <references count="1">
          <reference field="4294967294" count="1" selected="0">
            <x v="12"/>
          </reference>
        </references>
      </pivotArea>
    </chartFormat>
    <chartFormat chart="1" format="32" series="1">
      <pivotArea type="data" outline="0" fieldPosition="0">
        <references count="1">
          <reference field="4294967294" count="1" selected="0">
            <x v="13"/>
          </reference>
        </references>
      </pivotArea>
    </chartFormat>
    <chartFormat chart="1" format="33" series="1">
      <pivotArea type="data" outline="0" fieldPosition="0">
        <references count="1">
          <reference field="4294967294" count="1" selected="0">
            <x v="14"/>
          </reference>
        </references>
      </pivotArea>
    </chartFormat>
    <chartFormat chart="1" format="34" series="1">
      <pivotArea type="data" outline="0" fieldPosition="0">
        <references count="1">
          <reference field="4294967294" count="1" selected="0">
            <x v="15"/>
          </reference>
        </references>
      </pivotArea>
    </chartFormat>
    <chartFormat chart="1" format="38" series="1">
      <pivotArea type="data" outline="0" fieldPosition="0">
        <references count="1">
          <reference field="4294967294" count="1" selected="0">
            <x v="6"/>
          </reference>
        </references>
      </pivotArea>
    </chartFormat>
    <chartFormat chart="1" format="39" series="1">
      <pivotArea type="data" outline="0" fieldPosition="0">
        <references count="1">
          <reference field="4294967294" count="1" selected="0">
            <x v="16"/>
          </reference>
        </references>
      </pivotArea>
    </chartFormat>
    <chartFormat chart="7" format="40" series="1">
      <pivotArea type="data" outline="0" fieldPosition="0">
        <references count="1">
          <reference field="4294967294" count="1" selected="0">
            <x v="0"/>
          </reference>
        </references>
      </pivotArea>
    </chartFormat>
    <chartFormat chart="7" format="41" series="1">
      <pivotArea type="data" outline="0" fieldPosition="0">
        <references count="1">
          <reference field="4294967294" count="1" selected="0">
            <x v="1"/>
          </reference>
        </references>
      </pivotArea>
    </chartFormat>
    <chartFormat chart="7" format="42" series="1">
      <pivotArea type="data" outline="0" fieldPosition="0">
        <references count="1">
          <reference field="4294967294" count="1" selected="0">
            <x v="2"/>
          </reference>
        </references>
      </pivotArea>
    </chartFormat>
    <chartFormat chart="7" format="43" series="1">
      <pivotArea type="data" outline="0" fieldPosition="0">
        <references count="1">
          <reference field="4294967294" count="1" selected="0">
            <x v="3"/>
          </reference>
        </references>
      </pivotArea>
    </chartFormat>
    <chartFormat chart="7" format="44" series="1">
      <pivotArea type="data" outline="0" fieldPosition="0">
        <references count="1">
          <reference field="4294967294" count="1" selected="0">
            <x v="4"/>
          </reference>
        </references>
      </pivotArea>
    </chartFormat>
    <chartFormat chart="7" format="45" series="1">
      <pivotArea type="data" outline="0" fieldPosition="0">
        <references count="1">
          <reference field="4294967294" count="1" selected="0">
            <x v="6"/>
          </reference>
        </references>
      </pivotArea>
    </chartFormat>
    <chartFormat chart="7" format="46" series="1">
      <pivotArea type="data" outline="0" fieldPosition="0">
        <references count="1">
          <reference field="4294967294" count="1" selected="0">
            <x v="7"/>
          </reference>
        </references>
      </pivotArea>
    </chartFormat>
    <chartFormat chart="7" format="47" series="1">
      <pivotArea type="data" outline="0" fieldPosition="0">
        <references count="1">
          <reference field="4294967294" count="1" selected="0">
            <x v="8"/>
          </reference>
        </references>
      </pivotArea>
    </chartFormat>
    <chartFormat chart="7" format="48" series="1">
      <pivotArea type="data" outline="0" fieldPosition="0">
        <references count="1">
          <reference field="4294967294" count="1" selected="0">
            <x v="9"/>
          </reference>
        </references>
      </pivotArea>
    </chartFormat>
    <chartFormat chart="7" format="49" series="1">
      <pivotArea type="data" outline="0" fieldPosition="0">
        <references count="1">
          <reference field="4294967294" count="1" selected="0">
            <x v="10"/>
          </reference>
        </references>
      </pivotArea>
    </chartFormat>
    <chartFormat chart="7" format="50" series="1">
      <pivotArea type="data" outline="0" fieldPosition="0">
        <references count="1">
          <reference field="4294967294" count="1" selected="0">
            <x v="11"/>
          </reference>
        </references>
      </pivotArea>
    </chartFormat>
    <chartFormat chart="7" format="51" series="1">
      <pivotArea type="data" outline="0" fieldPosition="0">
        <references count="1">
          <reference field="4294967294" count="1" selected="0">
            <x v="12"/>
          </reference>
        </references>
      </pivotArea>
    </chartFormat>
    <chartFormat chart="7" format="52" series="1">
      <pivotArea type="data" outline="0" fieldPosition="0">
        <references count="1">
          <reference field="4294967294" count="1" selected="0">
            <x v="13"/>
          </reference>
        </references>
      </pivotArea>
    </chartFormat>
    <chartFormat chart="7" format="53" series="1">
      <pivotArea type="data" outline="0" fieldPosition="0">
        <references count="1">
          <reference field="4294967294" count="1" selected="0">
            <x v="14"/>
          </reference>
        </references>
      </pivotArea>
    </chartFormat>
    <chartFormat chart="7" format="54" series="1">
      <pivotArea type="data" outline="0" fieldPosition="0">
        <references count="1">
          <reference field="4294967294" count="1" selected="0">
            <x v="15"/>
          </reference>
        </references>
      </pivotArea>
    </chartFormat>
    <chartFormat chart="7" format="55" series="1">
      <pivotArea type="data" outline="0" fieldPosition="0">
        <references count="1">
          <reference field="4294967294" count="1" selected="0">
            <x v="16"/>
          </reference>
        </references>
      </pivotArea>
    </chartFormat>
    <chartFormat chart="7" format="56" series="1">
      <pivotArea type="data" outline="0" fieldPosition="0">
        <references count="1">
          <reference field="4294967294" count="1" selected="0">
            <x v="17"/>
          </reference>
        </references>
      </pivotArea>
    </chartFormat>
    <chartFormat chart="1" format="43" series="1">
      <pivotArea type="data" outline="0" fieldPosition="0">
        <references count="1">
          <reference field="4294967294" count="1" selected="0">
            <x v="5"/>
          </reference>
        </references>
      </pivotArea>
    </chartFormat>
    <chartFormat chart="1" format="44" series="1">
      <pivotArea type="data" outline="0" fieldPosition="0">
        <references count="1">
          <reference field="4294967294" count="1" selected="0">
            <x v="18"/>
          </reference>
        </references>
      </pivotArea>
    </chartFormat>
    <chartFormat chart="1" format="45" series="1">
      <pivotArea type="data" outline="0" fieldPosition="0">
        <references count="1">
          <reference field="4294967294" count="1" selected="0">
            <x v="19"/>
          </reference>
        </references>
      </pivotArea>
    </chartFormat>
    <chartFormat chart="1" format="46" series="1">
      <pivotArea type="data" outline="0" fieldPosition="0">
        <references count="1">
          <reference field="4294967294" count="1" selected="0">
            <x v="20"/>
          </reference>
        </references>
      </pivotArea>
    </chartFormat>
  </chart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 cacheId="39"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chartFormat="4">
  <location ref="A1:AB15" firstHeaderRow="1" firstDataRow="2" firstDataCol="1"/>
  <pivotFields count="65">
    <pivotField axis="axisRow" showAll="0">
      <items count="5">
        <item x="0"/>
        <item x="1"/>
        <item x="2"/>
        <item x="3"/>
        <item t="default"/>
      </items>
    </pivotField>
    <pivotField axis="axisRow" showAll="0">
      <items count="3">
        <item x="0"/>
        <item x="1"/>
        <item t="default"/>
      </items>
    </pivotField>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defaultSubtotal="0"/>
    <pivotField showAll="0" defaultSubtotal="0"/>
    <pivotField dataField="1" showAll="0" defaultSubtota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showAll="0"/>
    <pivotField showAll="0"/>
    <pivotField dataFiel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 dataField="1" numFmtId="1" showAll="0"/>
  </pivotFields>
  <rowFields count="2">
    <field x="0"/>
    <field x="1"/>
  </rowFields>
  <rowItems count="13">
    <i>
      <x/>
    </i>
    <i r="1">
      <x/>
    </i>
    <i r="1">
      <x v="1"/>
    </i>
    <i>
      <x v="1"/>
    </i>
    <i r="1">
      <x/>
    </i>
    <i r="1">
      <x v="1"/>
    </i>
    <i>
      <x v="2"/>
    </i>
    <i r="1">
      <x/>
    </i>
    <i r="1">
      <x v="1"/>
    </i>
    <i>
      <x v="3"/>
    </i>
    <i r="1">
      <x/>
    </i>
    <i r="1">
      <x v="1"/>
    </i>
    <i t="grand">
      <x/>
    </i>
  </rowItems>
  <colFields count="1">
    <field x="-2"/>
  </colFields>
  <colItems count="27">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colItems>
  <dataFields count="27">
    <dataField name="Sum of Hydro: Energy (GWh)" fld="13" baseField="0" baseItem="0"/>
    <dataField name="Sum of Geothermal: Energy (GWh)" fld="16" baseField="0" baseItem="0"/>
    <dataField name="Sum of Clean Wood: Energy (GWh)" fld="19" baseField="0" baseItem="0"/>
    <dataField name="Sum of Treated Wood: Energy (GWh)" fld="22" baseField="0" baseItem="0"/>
    <dataField name="Sum of Wet Biomass: Energy (GWh)" fld="25" baseField="0" baseItem="0"/>
    <dataField name="Sum of Residual Waste: Energy (GWh)" fld="28" baseField="0" baseItem="0"/>
    <dataField name="Sum of PV Farms: Energy (GWh)" fld="4" baseField="0" baseItem="0"/>
    <dataField name="Sum of Domestic PV: Energy (GWh)" fld="31" baseField="0" baseItem="0"/>
    <dataField name="Sum of Non-domestic PV: Energy (GWh)" fld="34" baseField="0" baseItem="0"/>
    <dataField name="Sum of Domestic SWH: Energy (GWh)" fld="37" baseField="0" baseItem="0"/>
    <dataField name="Sum of Non-domestic SWH: Energy (GWh)" fld="40" baseField="0" baseItem="0"/>
    <dataField name="Sum of Domestic biomass: Energy (GWh)" fld="43" baseField="0" baseItem="0"/>
    <dataField name="Sum of Non-domestic biomass: Energy (GWh)" fld="46" baseField="0" baseItem="0"/>
    <dataField name="Sum of Domestic Heat Pumps: Energy (GWh)" fld="49" baseField="0" baseItem="0"/>
    <dataField name="Sum of Non-domestic heat pumps: Energy (GWh)" fld="52" baseField="0" baseItem="0"/>
    <dataField name="Sum of Micro Wind: Energy (GWh)" fld="55" baseField="0" baseItem="0"/>
    <dataField name="Sum of Medium Scale Wind: Energy (GWh)" fld="10" baseField="0" baseItem="0"/>
    <dataField name="Sum of Large Scale Wind: Energy (GWh)" fld="7" baseField="0" baseItem="0"/>
    <dataField name="Sum of Non-Domestic Basline (GWh)" fld="56" baseField="0" baseItem="0"/>
    <dataField name="Sum of Domestic Baseline (GWh)" fld="57" baseField="0" baseItem="0"/>
    <dataField name="Sum of Transport Baseline (GWh)" fld="58" baseField="0" baseItem="0"/>
    <dataField name="Sum of Non-Domestic Government Policy (GWh)" fld="59" baseField="0" baseItem="0"/>
    <dataField name="Sum of Domestic Government Policy (GWh)" fld="60" baseField="0" baseItem="0"/>
    <dataField name="Sum of Transport Government Policy (GWh)" fld="61" baseField="0" baseItem="0"/>
    <dataField name="Sum of Non-Domestic Addional Reduction (GWh)" fld="62" baseField="0" baseItem="0"/>
    <dataField name="Sum of Domestic Government Addional Reduction (GWh)" fld="63" baseField="0" baseItem="0"/>
    <dataField name="Sum of Transport Government Addional Reduction (GWh)" fld="64" baseField="0" baseItem="0"/>
  </dataFields>
  <chartFormats count="53">
    <chartFormat chart="1" format="6" series="1">
      <pivotArea type="data" outline="0" fieldPosition="0">
        <references count="1">
          <reference field="4294967294" count="1" selected="0">
            <x v="6"/>
          </reference>
        </references>
      </pivotArea>
    </chartFormat>
    <chartFormat chart="1" format="7" series="1">
      <pivotArea type="data" outline="0" fieldPosition="0">
        <references count="1">
          <reference field="4294967294" count="1" selected="0">
            <x v="17"/>
          </reference>
        </references>
      </pivotArea>
    </chartFormat>
    <chartFormat chart="1" format="8" series="1">
      <pivotArea type="data" outline="0" fieldPosition="0">
        <references count="1">
          <reference field="4294967294" count="1" selected="0">
            <x v="16"/>
          </reference>
        </references>
      </pivotArea>
    </chartFormat>
    <chartFormat chart="1" format="9" series="1">
      <pivotArea type="data" outline="0" fieldPosition="0">
        <references count="1">
          <reference field="4294967294" count="1" selected="0">
            <x v="0"/>
          </reference>
        </references>
      </pivotArea>
    </chartFormat>
    <chartFormat chart="1" format="10" series="1">
      <pivotArea type="data" outline="0" fieldPosition="0">
        <references count="1">
          <reference field="4294967294" count="1" selected="0">
            <x v="1"/>
          </reference>
        </references>
      </pivotArea>
    </chartFormat>
    <chartFormat chart="1" format="11" series="1">
      <pivotArea type="data" outline="0" fieldPosition="0">
        <references count="1">
          <reference field="4294967294" count="1" selected="0">
            <x v="2"/>
          </reference>
        </references>
      </pivotArea>
    </chartFormat>
    <chartFormat chart="1" format="12" series="1">
      <pivotArea type="data" outline="0" fieldPosition="0">
        <references count="1">
          <reference field="4294967294" count="1" selected="0">
            <x v="3"/>
          </reference>
        </references>
      </pivotArea>
    </chartFormat>
    <chartFormat chart="1" format="13" series="1">
      <pivotArea type="data" outline="0" fieldPosition="0">
        <references count="1">
          <reference field="4294967294" count="1" selected="0">
            <x v="4"/>
          </reference>
        </references>
      </pivotArea>
    </chartFormat>
    <chartFormat chart="1" format="14" series="1">
      <pivotArea type="data" outline="0" fieldPosition="0">
        <references count="1">
          <reference field="4294967294" count="1" selected="0">
            <x v="7"/>
          </reference>
        </references>
      </pivotArea>
    </chartFormat>
    <chartFormat chart="1" format="15" series="1">
      <pivotArea type="data" outline="0" fieldPosition="0">
        <references count="1">
          <reference field="4294967294" count="1" selected="0">
            <x v="8"/>
          </reference>
        </references>
      </pivotArea>
    </chartFormat>
    <chartFormat chart="1" format="16" series="1">
      <pivotArea type="data" outline="0" fieldPosition="0">
        <references count="1">
          <reference field="4294967294" count="1" selected="0">
            <x v="9"/>
          </reference>
        </references>
      </pivotArea>
    </chartFormat>
    <chartFormat chart="1" format="17" series="1">
      <pivotArea type="data" outline="0" fieldPosition="0">
        <references count="1">
          <reference field="4294967294" count="1" selected="0">
            <x v="10"/>
          </reference>
        </references>
      </pivotArea>
    </chartFormat>
    <chartFormat chart="1" format="18" series="1">
      <pivotArea type="data" outline="0" fieldPosition="0">
        <references count="1">
          <reference field="4294967294" count="1" selected="0">
            <x v="11"/>
          </reference>
        </references>
      </pivotArea>
    </chartFormat>
    <chartFormat chart="1" format="19" series="1">
      <pivotArea type="data" outline="0" fieldPosition="0">
        <references count="1">
          <reference field="4294967294" count="1" selected="0">
            <x v="12"/>
          </reference>
        </references>
      </pivotArea>
    </chartFormat>
    <chartFormat chart="1" format="20" series="1">
      <pivotArea type="data" outline="0" fieldPosition="0">
        <references count="1">
          <reference field="4294967294" count="1" selected="0">
            <x v="13"/>
          </reference>
        </references>
      </pivotArea>
    </chartFormat>
    <chartFormat chart="1" format="21" series="1">
      <pivotArea type="data" outline="0" fieldPosition="0">
        <references count="1">
          <reference field="4294967294" count="1" selected="0">
            <x v="14"/>
          </reference>
        </references>
      </pivotArea>
    </chartFormat>
    <chartFormat chart="1" format="22" series="1">
      <pivotArea type="data" outline="0" fieldPosition="0">
        <references count="1">
          <reference field="4294967294" count="1" selected="0">
            <x v="15"/>
          </reference>
        </references>
      </pivotArea>
    </chartFormat>
    <chartFormat chart="1" format="23" series="1">
      <pivotArea type="data" outline="0" fieldPosition="0">
        <references count="1">
          <reference field="4294967294" count="1" selected="0">
            <x v="18"/>
          </reference>
        </references>
      </pivotArea>
    </chartFormat>
    <chartFormat chart="1" format="24" series="1">
      <pivotArea type="data" outline="0" fieldPosition="0">
        <references count="1">
          <reference field="4294967294" count="1" selected="0">
            <x v="19"/>
          </reference>
        </references>
      </pivotArea>
    </chartFormat>
    <chartFormat chart="1" format="25" series="1">
      <pivotArea type="data" outline="0" fieldPosition="0">
        <references count="1">
          <reference field="4294967294" count="1" selected="0">
            <x v="20"/>
          </reference>
        </references>
      </pivotArea>
    </chartFormat>
    <chartFormat chart="1" format="26" series="1">
      <pivotArea type="data" outline="0" fieldPosition="0">
        <references count="1">
          <reference field="4294967294" count="1" selected="0">
            <x v="21"/>
          </reference>
        </references>
      </pivotArea>
    </chartFormat>
    <chartFormat chart="1" format="27" series="1">
      <pivotArea type="data" outline="0" fieldPosition="0">
        <references count="1">
          <reference field="4294967294" count="1" selected="0">
            <x v="22"/>
          </reference>
        </references>
      </pivotArea>
    </chartFormat>
    <chartFormat chart="1" format="28" series="1">
      <pivotArea type="data" outline="0" fieldPosition="0">
        <references count="1">
          <reference field="4294967294" count="1" selected="0">
            <x v="23"/>
          </reference>
        </references>
      </pivotArea>
    </chartFormat>
    <chartFormat chart="1" format="29" series="1">
      <pivotArea type="data" outline="0" fieldPosition="0">
        <references count="1">
          <reference field="4294967294" count="1" selected="0">
            <x v="24"/>
          </reference>
        </references>
      </pivotArea>
    </chartFormat>
    <chartFormat chart="1" format="30" series="1">
      <pivotArea type="data" outline="0" fieldPosition="0">
        <references count="1">
          <reference field="4294967294" count="1" selected="0">
            <x v="25"/>
          </reference>
        </references>
      </pivotArea>
    </chartFormat>
    <chartFormat chart="1" format="31" series="1">
      <pivotArea type="data" outline="0" fieldPosition="0">
        <references count="1">
          <reference field="4294967294" count="1" selected="0">
            <x v="26"/>
          </reference>
        </references>
      </pivotArea>
    </chartFormat>
    <chartFormat chart="2" format="32" series="1">
      <pivotArea type="data" outline="0" fieldPosition="0">
        <references count="1">
          <reference field="4294967294" count="1" selected="0">
            <x v="0"/>
          </reference>
        </references>
      </pivotArea>
    </chartFormat>
    <chartFormat chart="2" format="33" series="1">
      <pivotArea type="data" outline="0" fieldPosition="0">
        <references count="1">
          <reference field="4294967294" count="1" selected="0">
            <x v="1"/>
          </reference>
        </references>
      </pivotArea>
    </chartFormat>
    <chartFormat chart="2" format="34" series="1">
      <pivotArea type="data" outline="0" fieldPosition="0">
        <references count="1">
          <reference field="4294967294" count="1" selected="0">
            <x v="2"/>
          </reference>
        </references>
      </pivotArea>
    </chartFormat>
    <chartFormat chart="2" format="35" series="1">
      <pivotArea type="data" outline="0" fieldPosition="0">
        <references count="1">
          <reference field="4294967294" count="1" selected="0">
            <x v="3"/>
          </reference>
        </references>
      </pivotArea>
    </chartFormat>
    <chartFormat chart="2" format="36" series="1">
      <pivotArea type="data" outline="0" fieldPosition="0">
        <references count="1">
          <reference field="4294967294" count="1" selected="0">
            <x v="4"/>
          </reference>
        </references>
      </pivotArea>
    </chartFormat>
    <chartFormat chart="2" format="37" series="1">
      <pivotArea type="data" outline="0" fieldPosition="0">
        <references count="1">
          <reference field="4294967294" count="1" selected="0">
            <x v="6"/>
          </reference>
        </references>
      </pivotArea>
    </chartFormat>
    <chartFormat chart="2" format="38" series="1">
      <pivotArea type="data" outline="0" fieldPosition="0">
        <references count="1">
          <reference field="4294967294" count="1" selected="0">
            <x v="7"/>
          </reference>
        </references>
      </pivotArea>
    </chartFormat>
    <chartFormat chart="2" format="39" series="1">
      <pivotArea type="data" outline="0" fieldPosition="0">
        <references count="1">
          <reference field="4294967294" count="1" selected="0">
            <x v="8"/>
          </reference>
        </references>
      </pivotArea>
    </chartFormat>
    <chartFormat chart="2" format="40" series="1">
      <pivotArea type="data" outline="0" fieldPosition="0">
        <references count="1">
          <reference field="4294967294" count="1" selected="0">
            <x v="9"/>
          </reference>
        </references>
      </pivotArea>
    </chartFormat>
    <chartFormat chart="2" format="41" series="1">
      <pivotArea type="data" outline="0" fieldPosition="0">
        <references count="1">
          <reference field="4294967294" count="1" selected="0">
            <x v="10"/>
          </reference>
        </references>
      </pivotArea>
    </chartFormat>
    <chartFormat chart="2" format="42" series="1">
      <pivotArea type="data" outline="0" fieldPosition="0">
        <references count="1">
          <reference field="4294967294" count="1" selected="0">
            <x v="11"/>
          </reference>
        </references>
      </pivotArea>
    </chartFormat>
    <chartFormat chart="2" format="43" series="1">
      <pivotArea type="data" outline="0" fieldPosition="0">
        <references count="1">
          <reference field="4294967294" count="1" selected="0">
            <x v="12"/>
          </reference>
        </references>
      </pivotArea>
    </chartFormat>
    <chartFormat chart="2" format="44" series="1">
      <pivotArea type="data" outline="0" fieldPosition="0">
        <references count="1">
          <reference field="4294967294" count="1" selected="0">
            <x v="13"/>
          </reference>
        </references>
      </pivotArea>
    </chartFormat>
    <chartFormat chart="2" format="45" series="1">
      <pivotArea type="data" outline="0" fieldPosition="0">
        <references count="1">
          <reference field="4294967294" count="1" selected="0">
            <x v="14"/>
          </reference>
        </references>
      </pivotArea>
    </chartFormat>
    <chartFormat chart="2" format="46" series="1">
      <pivotArea type="data" outline="0" fieldPosition="0">
        <references count="1">
          <reference field="4294967294" count="1" selected="0">
            <x v="15"/>
          </reference>
        </references>
      </pivotArea>
    </chartFormat>
    <chartFormat chart="2" format="47" series="1">
      <pivotArea type="data" outline="0" fieldPosition="0">
        <references count="1">
          <reference field="4294967294" count="1" selected="0">
            <x v="16"/>
          </reference>
        </references>
      </pivotArea>
    </chartFormat>
    <chartFormat chart="2" format="48" series="1">
      <pivotArea type="data" outline="0" fieldPosition="0">
        <references count="1">
          <reference field="4294967294" count="1" selected="0">
            <x v="17"/>
          </reference>
        </references>
      </pivotArea>
    </chartFormat>
    <chartFormat chart="2" format="49" series="1">
      <pivotArea type="data" outline="0" fieldPosition="0">
        <references count="1">
          <reference field="4294967294" count="1" selected="0">
            <x v="18"/>
          </reference>
        </references>
      </pivotArea>
    </chartFormat>
    <chartFormat chart="2" format="50" series="1">
      <pivotArea type="data" outline="0" fieldPosition="0">
        <references count="1">
          <reference field="4294967294" count="1" selected="0">
            <x v="19"/>
          </reference>
        </references>
      </pivotArea>
    </chartFormat>
    <chartFormat chart="2" format="51" series="1">
      <pivotArea type="data" outline="0" fieldPosition="0">
        <references count="1">
          <reference field="4294967294" count="1" selected="0">
            <x v="20"/>
          </reference>
        </references>
      </pivotArea>
    </chartFormat>
    <chartFormat chart="2" format="52" series="1">
      <pivotArea type="data" outline="0" fieldPosition="0">
        <references count="1">
          <reference field="4294967294" count="1" selected="0">
            <x v="21"/>
          </reference>
        </references>
      </pivotArea>
    </chartFormat>
    <chartFormat chart="2" format="53" series="1">
      <pivotArea type="data" outline="0" fieldPosition="0">
        <references count="1">
          <reference field="4294967294" count="1" selected="0">
            <x v="22"/>
          </reference>
        </references>
      </pivotArea>
    </chartFormat>
    <chartFormat chart="2" format="54" series="1">
      <pivotArea type="data" outline="0" fieldPosition="0">
        <references count="1">
          <reference field="4294967294" count="1" selected="0">
            <x v="23"/>
          </reference>
        </references>
      </pivotArea>
    </chartFormat>
    <chartFormat chart="2" format="55" series="1">
      <pivotArea type="data" outline="0" fieldPosition="0">
        <references count="1">
          <reference field="4294967294" count="1" selected="0">
            <x v="24"/>
          </reference>
        </references>
      </pivotArea>
    </chartFormat>
    <chartFormat chart="2" format="56" series="1">
      <pivotArea type="data" outline="0" fieldPosition="0">
        <references count="1">
          <reference field="4294967294" count="1" selected="0">
            <x v="25"/>
          </reference>
        </references>
      </pivotArea>
    </chartFormat>
    <chartFormat chart="2" format="57" series="1">
      <pivotArea type="data" outline="0" fieldPosition="0">
        <references count="1">
          <reference field="4294967294" count="1" selected="0">
            <x v="26"/>
          </reference>
        </references>
      </pivotArea>
    </chartFormat>
    <chartFormat chart="1" format="32"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cornwallsolarfarms.files.wordpress.com/2012/12/img050.jpg" TargetMode="External"/><Relationship Id="rId1" Type="http://schemas.openxmlformats.org/officeDocument/2006/relationships/hyperlink" Target="http://magic.defra.gov.uk/website/magic/"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regensw.s3.amazonaws.com/wind_resource_methodology_text_only_b71959af94c39e86.pdf"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thisisplymouth.co.uk/New-50million-water-treatment-plant-built/story-17815036-detail/story.html" TargetMode="External"/><Relationship Id="rId2" Type="http://schemas.openxmlformats.org/officeDocument/2006/relationships/hyperlink" Target="https://www.gov.uk/government/uploads/system/uploads/attachment_data/file/47951/754-wag-hydro-report-annex-3.pdf" TargetMode="External"/><Relationship Id="rId1" Type="http://schemas.openxmlformats.org/officeDocument/2006/relationships/hyperlink" Target="http://www.british-hydro.org/mini-hydro" TargetMode="External"/><Relationship Id="rId5" Type="http://schemas.openxmlformats.org/officeDocument/2006/relationships/drawing" Target="../drawings/drawing10.xml"/><Relationship Id="rId4"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www.devon.gov.uk/peoplepopestimates" TargetMode="External"/><Relationship Id="rId1" Type="http://schemas.openxmlformats.org/officeDocument/2006/relationships/hyperlink" Target="http://www.ons.gov.uk/ons/rel/pop-estimate/population-estimates-for-uk--england-and-wales--scotland-and-northern-ireland/population-estimates-timeseries-1971-to-current-year/index.html"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regensw.s3.amazonaws.com/as2012_la_data_heat__8f63977c13de5193.pdf" TargetMode="External"/><Relationship Id="rId1" Type="http://schemas.openxmlformats.org/officeDocument/2006/relationships/hyperlink" Target="http://regensw.s3.amazonaws.com/as2012_la_data_electricity__d8da742c44c402de.pdf" TargetMode="Externa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totnesedap.org.uk/book/appendices/appendix-c/totnes-and-district-energy-budget-calculations/" TargetMode="External"/></Relationships>
</file>

<file path=xl/worksheets/sheet1.xml><?xml version="1.0" encoding="utf-8"?>
<worksheet xmlns="http://schemas.openxmlformats.org/spreadsheetml/2006/main" xmlns:r="http://schemas.openxmlformats.org/officeDocument/2006/relationships">
  <dimension ref="B1:C13"/>
  <sheetViews>
    <sheetView tabSelected="1" workbookViewId="0">
      <selection activeCell="C26" sqref="C26"/>
    </sheetView>
  </sheetViews>
  <sheetFormatPr defaultRowHeight="15"/>
  <cols>
    <col min="2" max="2" width="114.28515625" customWidth="1"/>
    <col min="3" max="3" width="91.42578125" customWidth="1"/>
  </cols>
  <sheetData>
    <row r="1" spans="2:3">
      <c r="B1" s="1" t="s">
        <v>4</v>
      </c>
      <c r="C1" s="1" t="s">
        <v>5</v>
      </c>
    </row>
    <row r="2" spans="2:3">
      <c r="B2" t="s">
        <v>0</v>
      </c>
      <c r="C2" t="s">
        <v>9</v>
      </c>
    </row>
    <row r="3" spans="2:3">
      <c r="B3" t="s">
        <v>1</v>
      </c>
    </row>
    <row r="4" spans="2:3">
      <c r="B4" t="s">
        <v>2</v>
      </c>
    </row>
    <row r="5" spans="2:3">
      <c r="B5" t="s">
        <v>3</v>
      </c>
      <c r="C5" t="s">
        <v>8</v>
      </c>
    </row>
    <row r="6" spans="2:3">
      <c r="B6" t="s">
        <v>6</v>
      </c>
      <c r="C6" t="s">
        <v>7</v>
      </c>
    </row>
    <row r="7" spans="2:3">
      <c r="B7" t="s">
        <v>10</v>
      </c>
      <c r="C7" t="s">
        <v>7</v>
      </c>
    </row>
    <row r="8" spans="2:3">
      <c r="B8" t="s">
        <v>11</v>
      </c>
      <c r="C8" t="s">
        <v>12</v>
      </c>
    </row>
    <row r="11" spans="2:3">
      <c r="C11" s="1" t="s">
        <v>15</v>
      </c>
    </row>
    <row r="12" spans="2:3">
      <c r="C12" s="2" t="s">
        <v>13</v>
      </c>
    </row>
    <row r="13" spans="2:3">
      <c r="C13" s="3" t="s">
        <v>14</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tabColor rgb="FFFF0000"/>
  </sheetPr>
  <dimension ref="B2:G160"/>
  <sheetViews>
    <sheetView topLeftCell="A133" workbookViewId="0">
      <selection activeCell="C156" sqref="C156:E156"/>
    </sheetView>
  </sheetViews>
  <sheetFormatPr defaultRowHeight="15"/>
  <cols>
    <col min="2" max="2" width="12.5703125" customWidth="1"/>
  </cols>
  <sheetData>
    <row r="2" spans="2:7">
      <c r="B2" s="40" t="s">
        <v>329</v>
      </c>
      <c r="G2" s="39" t="s">
        <v>370</v>
      </c>
    </row>
    <row r="3" spans="2:7">
      <c r="B3" t="s">
        <v>320</v>
      </c>
    </row>
    <row r="4" spans="2:7">
      <c r="B4" t="s">
        <v>321</v>
      </c>
      <c r="C4">
        <v>5</v>
      </c>
      <c r="D4" t="s">
        <v>21</v>
      </c>
    </row>
    <row r="5" spans="2:7">
      <c r="B5" t="s">
        <v>322</v>
      </c>
      <c r="C5">
        <v>15</v>
      </c>
      <c r="D5" t="s">
        <v>323</v>
      </c>
    </row>
    <row r="6" spans="2:7">
      <c r="B6" t="s">
        <v>322</v>
      </c>
      <c r="C6">
        <f>C5*10000</f>
        <v>150000</v>
      </c>
      <c r="D6" t="s">
        <v>324</v>
      </c>
    </row>
    <row r="8" spans="2:7">
      <c r="B8" s="40" t="s">
        <v>325</v>
      </c>
    </row>
    <row r="27" spans="2:4">
      <c r="B27" t="s">
        <v>327</v>
      </c>
    </row>
    <row r="28" spans="2:4">
      <c r="B28" t="s">
        <v>326</v>
      </c>
    </row>
    <row r="30" spans="2:4">
      <c r="B30" t="s">
        <v>355</v>
      </c>
    </row>
    <row r="31" spans="2:4">
      <c r="B31" t="s">
        <v>354</v>
      </c>
      <c r="D31" t="s">
        <v>358</v>
      </c>
    </row>
    <row r="32" spans="2:4">
      <c r="B32" t="s">
        <v>304</v>
      </c>
      <c r="D32" t="s">
        <v>356</v>
      </c>
    </row>
    <row r="33" spans="2:4">
      <c r="B33" t="s">
        <v>345</v>
      </c>
      <c r="D33" t="s">
        <v>356</v>
      </c>
    </row>
    <row r="34" spans="2:4">
      <c r="B34" t="s">
        <v>346</v>
      </c>
      <c r="D34" t="s">
        <v>356</v>
      </c>
    </row>
    <row r="35" spans="2:4">
      <c r="B35" t="s">
        <v>301</v>
      </c>
      <c r="D35" t="s">
        <v>356</v>
      </c>
    </row>
    <row r="36" spans="2:4">
      <c r="B36" t="s">
        <v>312</v>
      </c>
      <c r="D36" t="s">
        <v>356</v>
      </c>
    </row>
    <row r="37" spans="2:4">
      <c r="B37" t="s">
        <v>117</v>
      </c>
      <c r="D37" t="s">
        <v>356</v>
      </c>
    </row>
    <row r="38" spans="2:4">
      <c r="B38" t="s">
        <v>347</v>
      </c>
      <c r="D38" t="s">
        <v>356</v>
      </c>
    </row>
    <row r="39" spans="2:4">
      <c r="B39" t="s">
        <v>305</v>
      </c>
      <c r="D39" t="s">
        <v>356</v>
      </c>
    </row>
    <row r="40" spans="2:4">
      <c r="B40" t="s">
        <v>348</v>
      </c>
      <c r="D40" t="s">
        <v>356</v>
      </c>
    </row>
    <row r="41" spans="2:4">
      <c r="B41" t="s">
        <v>302</v>
      </c>
      <c r="D41" t="s">
        <v>356</v>
      </c>
    </row>
    <row r="42" spans="2:4">
      <c r="B42" t="s">
        <v>349</v>
      </c>
      <c r="D42" t="s">
        <v>356</v>
      </c>
    </row>
    <row r="43" spans="2:4">
      <c r="B43" t="s">
        <v>350</v>
      </c>
      <c r="D43" t="s">
        <v>356</v>
      </c>
    </row>
    <row r="44" spans="2:4">
      <c r="B44" t="s">
        <v>351</v>
      </c>
      <c r="D44" t="s">
        <v>356</v>
      </c>
    </row>
    <row r="45" spans="2:4">
      <c r="B45" t="s">
        <v>306</v>
      </c>
      <c r="D45" t="s">
        <v>356</v>
      </c>
    </row>
    <row r="46" spans="2:4">
      <c r="B46" t="s">
        <v>352</v>
      </c>
      <c r="D46" t="s">
        <v>357</v>
      </c>
    </row>
    <row r="47" spans="2:4">
      <c r="B47" t="s">
        <v>353</v>
      </c>
      <c r="D47" t="s">
        <v>356</v>
      </c>
    </row>
    <row r="48" spans="2:4">
      <c r="B48" t="s">
        <v>200</v>
      </c>
      <c r="D48" t="s">
        <v>356</v>
      </c>
    </row>
    <row r="51" spans="2:2">
      <c r="B51" s="4" t="s">
        <v>330</v>
      </c>
    </row>
    <row r="52" spans="2:2">
      <c r="B52" t="s">
        <v>331</v>
      </c>
    </row>
    <row r="53" spans="2:2">
      <c r="B53" t="s">
        <v>332</v>
      </c>
    </row>
    <row r="54" spans="2:2">
      <c r="B54" t="s">
        <v>333</v>
      </c>
    </row>
    <row r="55" spans="2:2">
      <c r="B55" t="s">
        <v>334</v>
      </c>
    </row>
    <row r="56" spans="2:2">
      <c r="B56" t="s">
        <v>335</v>
      </c>
    </row>
    <row r="57" spans="2:2">
      <c r="B57" t="s">
        <v>336</v>
      </c>
    </row>
    <row r="58" spans="2:2">
      <c r="B58" t="s">
        <v>337</v>
      </c>
    </row>
    <row r="59" spans="2:2">
      <c r="B59" t="s">
        <v>338</v>
      </c>
    </row>
    <row r="60" spans="2:2">
      <c r="B60" t="s">
        <v>339</v>
      </c>
    </row>
    <row r="62" spans="2:2">
      <c r="B62" s="1" t="s">
        <v>359</v>
      </c>
    </row>
    <row r="63" spans="2:2">
      <c r="B63" t="s">
        <v>360</v>
      </c>
    </row>
    <row r="64" spans="2:2">
      <c r="B64" t="s">
        <v>361</v>
      </c>
    </row>
    <row r="65" spans="2:2">
      <c r="B65" t="s">
        <v>362</v>
      </c>
    </row>
    <row r="66" spans="2:2">
      <c r="B66" t="s">
        <v>363</v>
      </c>
    </row>
    <row r="67" spans="2:2">
      <c r="B67" t="s">
        <v>364</v>
      </c>
    </row>
    <row r="68" spans="2:2">
      <c r="B68" t="s">
        <v>365</v>
      </c>
    </row>
    <row r="69" spans="2:2">
      <c r="B69" t="s">
        <v>366</v>
      </c>
    </row>
    <row r="70" spans="2:2">
      <c r="B70" t="s">
        <v>367</v>
      </c>
    </row>
    <row r="71" spans="2:2">
      <c r="B71" t="s">
        <v>328</v>
      </c>
    </row>
    <row r="72" spans="2:2">
      <c r="B72" t="s">
        <v>369</v>
      </c>
    </row>
    <row r="74" spans="2:2">
      <c r="B74" s="4" t="s">
        <v>340</v>
      </c>
    </row>
    <row r="75" spans="2:2">
      <c r="B75" t="s">
        <v>341</v>
      </c>
    </row>
    <row r="76" spans="2:2">
      <c r="B76" t="s">
        <v>342</v>
      </c>
    </row>
    <row r="77" spans="2:2">
      <c r="B77" t="s">
        <v>344</v>
      </c>
    </row>
    <row r="78" spans="2:2">
      <c r="B78" t="s">
        <v>343</v>
      </c>
    </row>
    <row r="80" spans="2:2">
      <c r="B80" t="s">
        <v>368</v>
      </c>
    </row>
    <row r="82" spans="2:2">
      <c r="B82" s="1" t="s">
        <v>372</v>
      </c>
    </row>
    <row r="83" spans="2:2">
      <c r="B83" s="9" t="s">
        <v>371</v>
      </c>
    </row>
    <row r="86" spans="2:2">
      <c r="B86" s="4" t="s">
        <v>373</v>
      </c>
    </row>
    <row r="88" spans="2:2">
      <c r="B88" t="s">
        <v>374</v>
      </c>
    </row>
    <row r="89" spans="2:2">
      <c r="B89" s="9" t="s">
        <v>375</v>
      </c>
    </row>
    <row r="106" spans="2:3">
      <c r="B106" t="s">
        <v>376</v>
      </c>
    </row>
    <row r="107" spans="2:3">
      <c r="C107" t="s">
        <v>377</v>
      </c>
    </row>
    <row r="108" spans="2:3">
      <c r="B108" t="s">
        <v>59</v>
      </c>
      <c r="C108">
        <v>31600</v>
      </c>
    </row>
    <row r="109" spans="2:3">
      <c r="B109" t="s">
        <v>61</v>
      </c>
      <c r="C109">
        <v>45000</v>
      </c>
    </row>
    <row r="110" spans="2:3">
      <c r="B110" t="s">
        <v>378</v>
      </c>
      <c r="C110">
        <v>203000</v>
      </c>
    </row>
    <row r="126" spans="2:2">
      <c r="B126" s="4" t="s">
        <v>379</v>
      </c>
    </row>
    <row r="127" spans="2:2">
      <c r="B127" t="s">
        <v>380</v>
      </c>
    </row>
    <row r="143" spans="2:4">
      <c r="B143" s="4" t="s">
        <v>384</v>
      </c>
    </row>
    <row r="144" spans="2:4">
      <c r="B144" t="s">
        <v>381</v>
      </c>
      <c r="C144">
        <v>4.2</v>
      </c>
      <c r="D144" t="s">
        <v>21</v>
      </c>
    </row>
    <row r="145" spans="2:7">
      <c r="B145" t="s">
        <v>382</v>
      </c>
      <c r="C145">
        <v>3990</v>
      </c>
      <c r="D145" t="s">
        <v>49</v>
      </c>
    </row>
    <row r="146" spans="2:7">
      <c r="B146" t="s">
        <v>383</v>
      </c>
      <c r="C146">
        <v>32</v>
      </c>
    </row>
    <row r="148" spans="2:7">
      <c r="B148" s="4" t="s">
        <v>385</v>
      </c>
    </row>
    <row r="149" spans="2:7">
      <c r="B149" t="s">
        <v>386</v>
      </c>
    </row>
    <row r="150" spans="2:7">
      <c r="B150" t="s">
        <v>388</v>
      </c>
      <c r="C150">
        <v>1070</v>
      </c>
      <c r="D150" t="s">
        <v>387</v>
      </c>
    </row>
    <row r="151" spans="2:7">
      <c r="B151" t="s">
        <v>307</v>
      </c>
      <c r="C151">
        <v>959</v>
      </c>
      <c r="D151" t="s">
        <v>387</v>
      </c>
    </row>
    <row r="152" spans="2:7">
      <c r="B152" t="s">
        <v>389</v>
      </c>
      <c r="C152" s="8">
        <f>C151/C150</f>
        <v>0.89626168224299063</v>
      </c>
    </row>
    <row r="154" spans="2:7">
      <c r="B154" t="s">
        <v>390</v>
      </c>
      <c r="C154" s="22">
        <f>C152*C145</f>
        <v>3576.0841121495328</v>
      </c>
      <c r="D154" t="s">
        <v>49</v>
      </c>
    </row>
    <row r="156" spans="2:7">
      <c r="C156" t="s">
        <v>230</v>
      </c>
      <c r="D156" t="s">
        <v>258</v>
      </c>
      <c r="E156" t="s">
        <v>236</v>
      </c>
    </row>
    <row r="157" spans="2:7">
      <c r="B157" t="s">
        <v>59</v>
      </c>
      <c r="C157" s="24">
        <v>5</v>
      </c>
      <c r="D157" s="37">
        <f>C157*$C$144</f>
        <v>21</v>
      </c>
      <c r="E157" s="24">
        <f>D157*$C$154/1000</f>
        <v>75.097766355140195</v>
      </c>
      <c r="G157" t="s">
        <v>391</v>
      </c>
    </row>
    <row r="158" spans="2:7">
      <c r="B158" t="s">
        <v>61</v>
      </c>
      <c r="C158" s="24">
        <v>7</v>
      </c>
      <c r="D158" s="37">
        <f>C158*$C$144</f>
        <v>29.400000000000002</v>
      </c>
      <c r="E158" s="24">
        <f>D158*$C$154/1000</f>
        <v>105.13687289719627</v>
      </c>
      <c r="G158" t="s">
        <v>391</v>
      </c>
    </row>
    <row r="159" spans="2:7">
      <c r="B159" t="s">
        <v>227</v>
      </c>
      <c r="C159" s="37">
        <v>0</v>
      </c>
      <c r="D159" s="37">
        <v>0</v>
      </c>
      <c r="E159" s="37">
        <v>0</v>
      </c>
    </row>
    <row r="160" spans="2:7">
      <c r="B160" t="s">
        <v>228</v>
      </c>
      <c r="C160" s="24">
        <f>SUM(C157:C159)</f>
        <v>12</v>
      </c>
      <c r="D160" s="24">
        <f>SUM(D157:D159)</f>
        <v>50.400000000000006</v>
      </c>
      <c r="E160" s="24">
        <f>SUM(E157:E159)</f>
        <v>180.23463925233648</v>
      </c>
    </row>
  </sheetData>
  <hyperlinks>
    <hyperlink ref="B89" r:id="rId1"/>
    <hyperlink ref="B83" r:id="rId2"/>
  </hyperlinks>
  <pageMargins left="0.7" right="0.7" top="0.75" bottom="0.75" header="0.3" footer="0.3"/>
  <pageSetup paperSize="9" orientation="portrait" r:id="rId3"/>
  <drawing r:id="rId4"/>
</worksheet>
</file>

<file path=xl/worksheets/sheet11.xml><?xml version="1.0" encoding="utf-8"?>
<worksheet xmlns="http://schemas.openxmlformats.org/spreadsheetml/2006/main" xmlns:r="http://schemas.openxmlformats.org/officeDocument/2006/relationships">
  <sheetPr>
    <tabColor rgb="FFFF0000"/>
  </sheetPr>
  <dimension ref="B2:F77"/>
  <sheetViews>
    <sheetView topLeftCell="A14" workbookViewId="0">
      <selection activeCell="G25" sqref="G25"/>
    </sheetView>
  </sheetViews>
  <sheetFormatPr defaultRowHeight="15"/>
  <cols>
    <col min="2" max="2" width="16.28515625" customWidth="1"/>
    <col min="4" max="4" width="12.140625" bestFit="1" customWidth="1"/>
    <col min="5" max="5" width="10.5703125" customWidth="1"/>
  </cols>
  <sheetData>
    <row r="2" spans="2:5">
      <c r="B2" s="4" t="s">
        <v>253</v>
      </c>
    </row>
    <row r="3" spans="2:5">
      <c r="C3" t="str">
        <f>'RegenSW 2012 survey'!J6</f>
        <v>No Projects</v>
      </c>
      <c r="D3" t="str">
        <f>'RegenSW 2012 survey'!K6</f>
        <v>Capacity (MWe)</v>
      </c>
      <c r="E3" t="str">
        <f>'RegenSW 2012 survey'!L6</f>
        <v>No Projects</v>
      </c>
    </row>
    <row r="4" spans="2:5">
      <c r="B4" t="str">
        <f>'RegenSW 2012 survey'!A7</f>
        <v>South Hams</v>
      </c>
      <c r="C4">
        <f>'RegenSW 2012 survey'!J7</f>
        <v>23</v>
      </c>
      <c r="D4">
        <f>'RegenSW 2012 survey'!K7</f>
        <v>0.13</v>
      </c>
      <c r="E4">
        <f>'RegenSW 2012 survey'!L7</f>
        <v>2</v>
      </c>
    </row>
    <row r="5" spans="2:5">
      <c r="B5" t="str">
        <f>'RegenSW 2012 survey'!A8</f>
        <v>Teignbridge</v>
      </c>
      <c r="C5">
        <f>'RegenSW 2012 survey'!J8</f>
        <v>5</v>
      </c>
      <c r="D5">
        <f>'RegenSW 2012 survey'!K8</f>
        <v>2.5000000000000001E-2</v>
      </c>
      <c r="E5">
        <f>'RegenSW 2012 survey'!L8</f>
        <v>0</v>
      </c>
    </row>
    <row r="6" spans="2:5">
      <c r="B6" t="str">
        <f>'RegenSW 2012 survey'!A9</f>
        <v>West Devon</v>
      </c>
      <c r="C6">
        <f>'RegenSW 2012 survey'!J9</f>
        <v>13</v>
      </c>
      <c r="D6">
        <f>'RegenSW 2012 survey'!K9</f>
        <v>6.0999999999999999E-2</v>
      </c>
      <c r="E6">
        <f>'RegenSW 2012 survey'!L9</f>
        <v>0</v>
      </c>
    </row>
    <row r="8" spans="2:5">
      <c r="B8" s="4" t="s">
        <v>254</v>
      </c>
    </row>
    <row r="16" spans="2:5">
      <c r="B16" t="s">
        <v>255</v>
      </c>
    </row>
    <row r="17" spans="2:5">
      <c r="B17" t="s">
        <v>259</v>
      </c>
    </row>
    <row r="18" spans="2:5">
      <c r="B18" t="s">
        <v>256</v>
      </c>
    </row>
    <row r="19" spans="2:5">
      <c r="B19" s="6">
        <v>0.2</v>
      </c>
      <c r="C19" t="s">
        <v>257</v>
      </c>
    </row>
    <row r="20" spans="2:5">
      <c r="C20" s="153" t="s">
        <v>139</v>
      </c>
      <c r="D20" s="153"/>
      <c r="E20" s="153"/>
    </row>
    <row r="21" spans="2:5" ht="30">
      <c r="B21" s="10"/>
      <c r="C21" s="12" t="s">
        <v>230</v>
      </c>
      <c r="D21" s="12" t="s">
        <v>258</v>
      </c>
      <c r="E21" s="12" t="s">
        <v>236</v>
      </c>
    </row>
    <row r="22" spans="2:5">
      <c r="B22" t="s">
        <v>59</v>
      </c>
      <c r="C22">
        <f>C4</f>
        <v>23</v>
      </c>
      <c r="D22">
        <f>D4</f>
        <v>0.13</v>
      </c>
      <c r="E22" s="21">
        <f>D22/1000*8760*$B$19</f>
        <v>0.22776000000000002</v>
      </c>
    </row>
    <row r="23" spans="2:5">
      <c r="B23" t="s">
        <v>61</v>
      </c>
      <c r="C23">
        <f>C6</f>
        <v>13</v>
      </c>
      <c r="D23">
        <f>D6</f>
        <v>6.0999999999999999E-2</v>
      </c>
      <c r="E23" s="21">
        <f>D23/1000*8760*$B$19</f>
        <v>0.10687199999999999</v>
      </c>
    </row>
    <row r="24" spans="2:5">
      <c r="B24" t="s">
        <v>227</v>
      </c>
      <c r="C24">
        <v>1</v>
      </c>
      <c r="D24">
        <f>6/1000</f>
        <v>6.0000000000000001E-3</v>
      </c>
      <c r="E24" s="21">
        <f>D24/1000*8760*$B$19</f>
        <v>1.0512000000000001E-2</v>
      </c>
    </row>
    <row r="25" spans="2:5">
      <c r="B25" t="s">
        <v>228</v>
      </c>
      <c r="C25">
        <f>SUM(C22:C24)</f>
        <v>37</v>
      </c>
      <c r="D25">
        <f>D22+D23</f>
        <v>0.191</v>
      </c>
      <c r="E25" s="21">
        <f>D25/1000*8760*$B$19</f>
        <v>0.33463200000000004</v>
      </c>
    </row>
    <row r="28" spans="2:5">
      <c r="B28" s="4" t="s">
        <v>239</v>
      </c>
    </row>
    <row r="29" spans="2:5">
      <c r="B29" s="9" t="s">
        <v>240</v>
      </c>
    </row>
    <row r="31" spans="2:5">
      <c r="B31" s="13" t="s">
        <v>241</v>
      </c>
    </row>
    <row r="32" spans="2:5">
      <c r="B32" s="13" t="s">
        <v>242</v>
      </c>
    </row>
    <row r="33" spans="2:6">
      <c r="B33" s="13" t="s">
        <v>243</v>
      </c>
    </row>
    <row r="34" spans="2:6">
      <c r="B34" s="13" t="s">
        <v>244</v>
      </c>
    </row>
    <row r="35" spans="2:6" ht="15.75" thickBot="1"/>
    <row r="36" spans="2:6" s="10" customFormat="1" ht="60.75" thickBot="1">
      <c r="B36" s="28" t="s">
        <v>108</v>
      </c>
      <c r="C36" s="29" t="s">
        <v>245</v>
      </c>
      <c r="D36" s="29" t="s">
        <v>21</v>
      </c>
      <c r="E36" s="29" t="s">
        <v>29</v>
      </c>
      <c r="F36" s="29" t="s">
        <v>246</v>
      </c>
    </row>
    <row r="37" spans="2:6" ht="15.75" thickBot="1">
      <c r="B37" s="30" t="s">
        <v>247</v>
      </c>
      <c r="C37" s="31">
        <v>17</v>
      </c>
      <c r="D37" s="31">
        <v>43</v>
      </c>
      <c r="E37" s="31">
        <v>98</v>
      </c>
      <c r="F37" s="32">
        <v>0.02</v>
      </c>
    </row>
    <row r="38" spans="2:6" ht="15.75" thickBot="1">
      <c r="B38" s="30" t="s">
        <v>248</v>
      </c>
      <c r="C38" s="31">
        <v>0</v>
      </c>
      <c r="D38" s="31">
        <v>1</v>
      </c>
      <c r="E38" s="31">
        <v>2</v>
      </c>
      <c r="F38" s="32">
        <v>0</v>
      </c>
    </row>
    <row r="39" spans="2:6" ht="15.75" thickBot="1">
      <c r="B39" s="30" t="s">
        <v>249</v>
      </c>
      <c r="C39" s="31">
        <v>118</v>
      </c>
      <c r="D39" s="31">
        <v>295</v>
      </c>
      <c r="E39" s="31">
        <v>731</v>
      </c>
      <c r="F39" s="32">
        <v>0.15</v>
      </c>
    </row>
    <row r="40" spans="2:6" ht="15.75" thickBot="1">
      <c r="B40" s="30" t="s">
        <v>250</v>
      </c>
      <c r="C40" s="31">
        <v>206</v>
      </c>
      <c r="D40" s="31">
        <v>516</v>
      </c>
      <c r="E40" s="31">
        <v>1352</v>
      </c>
      <c r="F40" s="32">
        <v>0.26</v>
      </c>
    </row>
    <row r="41" spans="2:6" ht="15.75" thickBot="1">
      <c r="B41" s="30" t="s">
        <v>59</v>
      </c>
      <c r="C41" s="31">
        <v>46</v>
      </c>
      <c r="D41" s="31">
        <v>115</v>
      </c>
      <c r="E41" s="31">
        <v>325</v>
      </c>
      <c r="F41" s="32">
        <v>0.06</v>
      </c>
    </row>
    <row r="42" spans="2:6" ht="15.75" thickBot="1">
      <c r="B42" s="30" t="s">
        <v>60</v>
      </c>
      <c r="C42" s="31">
        <v>51</v>
      </c>
      <c r="D42" s="31">
        <v>128</v>
      </c>
      <c r="E42" s="31">
        <v>348</v>
      </c>
      <c r="F42" s="32">
        <v>0.06</v>
      </c>
    </row>
    <row r="43" spans="2:6" ht="15.75" thickBot="1">
      <c r="B43" s="30" t="s">
        <v>251</v>
      </c>
      <c r="C43" s="31">
        <v>183</v>
      </c>
      <c r="D43" s="31">
        <v>458</v>
      </c>
      <c r="E43" s="31">
        <v>1137</v>
      </c>
      <c r="F43" s="32">
        <v>0.23</v>
      </c>
    </row>
    <row r="44" spans="2:6" ht="15.75" thickBot="1">
      <c r="B44" s="30" t="s">
        <v>61</v>
      </c>
      <c r="C44" s="31">
        <v>175</v>
      </c>
      <c r="D44" s="31">
        <v>437</v>
      </c>
      <c r="E44" s="31">
        <v>966</v>
      </c>
      <c r="F44" s="32">
        <v>0.22</v>
      </c>
    </row>
    <row r="45" spans="2:6" ht="15.75" thickBot="1">
      <c r="B45" s="33" t="s">
        <v>252</v>
      </c>
      <c r="C45" s="34">
        <v>796</v>
      </c>
      <c r="D45" s="34">
        <v>1993</v>
      </c>
      <c r="E45" s="34">
        <v>4959</v>
      </c>
      <c r="F45" s="31"/>
    </row>
    <row r="47" spans="2:6">
      <c r="B47" s="35" t="s">
        <v>260</v>
      </c>
    </row>
    <row r="49" spans="2:5">
      <c r="B49" s="126"/>
      <c r="C49" s="154" t="s">
        <v>261</v>
      </c>
      <c r="D49" s="154"/>
      <c r="E49" s="154"/>
    </row>
    <row r="50" spans="2:5" ht="30">
      <c r="B50" s="127"/>
      <c r="C50" s="128" t="s">
        <v>230</v>
      </c>
      <c r="D50" s="128" t="s">
        <v>258</v>
      </c>
      <c r="E50" s="128" t="s">
        <v>236</v>
      </c>
    </row>
    <row r="51" spans="2:5">
      <c r="B51" s="126" t="s">
        <v>59</v>
      </c>
      <c r="C51" s="126">
        <f>C41</f>
        <v>46</v>
      </c>
      <c r="D51" s="126">
        <f>D41</f>
        <v>115</v>
      </c>
      <c r="E51" s="126">
        <f>E41</f>
        <v>325</v>
      </c>
    </row>
    <row r="52" spans="2:5">
      <c r="B52" s="126" t="s">
        <v>61</v>
      </c>
      <c r="C52" s="126">
        <f>C44</f>
        <v>175</v>
      </c>
      <c r="D52" s="126">
        <f>D44</f>
        <v>437</v>
      </c>
      <c r="E52" s="126">
        <f>E44</f>
        <v>966</v>
      </c>
    </row>
    <row r="53" spans="2:5">
      <c r="B53" s="126" t="s">
        <v>227</v>
      </c>
      <c r="C53" s="126">
        <v>0</v>
      </c>
      <c r="D53" s="126">
        <v>0</v>
      </c>
      <c r="E53" s="126">
        <v>0</v>
      </c>
    </row>
    <row r="54" spans="2:5">
      <c r="B54" s="126" t="s">
        <v>228</v>
      </c>
      <c r="C54" s="126">
        <f>SUM(C51:C53)</f>
        <v>221</v>
      </c>
      <c r="D54" s="126">
        <f>SUM(D51:D53)</f>
        <v>552</v>
      </c>
      <c r="E54" s="126">
        <f>SUM(E51:E53)</f>
        <v>1291</v>
      </c>
    </row>
    <row r="56" spans="2:5">
      <c r="B56" s="4" t="s">
        <v>1131</v>
      </c>
    </row>
    <row r="57" spans="2:5">
      <c r="B57" t="s">
        <v>1132</v>
      </c>
    </row>
    <row r="58" spans="2:5">
      <c r="B58" t="s">
        <v>1133</v>
      </c>
    </row>
    <row r="59" spans="2:5">
      <c r="B59" t="s">
        <v>1149</v>
      </c>
    </row>
    <row r="61" spans="2:5">
      <c r="B61" s="126"/>
      <c r="C61" s="154" t="s">
        <v>1134</v>
      </c>
      <c r="D61" s="154"/>
      <c r="E61" s="154"/>
    </row>
    <row r="62" spans="2:5" ht="30">
      <c r="B62" s="127"/>
      <c r="C62" s="128" t="s">
        <v>230</v>
      </c>
      <c r="D62" s="128" t="s">
        <v>258</v>
      </c>
      <c r="E62" s="128" t="s">
        <v>236</v>
      </c>
    </row>
    <row r="63" spans="2:5">
      <c r="B63" s="126" t="s">
        <v>59</v>
      </c>
      <c r="C63" s="126">
        <v>6</v>
      </c>
      <c r="D63" s="130">
        <f>C63*0.225</f>
        <v>1.35</v>
      </c>
      <c r="E63" s="131">
        <f>C63*0.4</f>
        <v>2.4000000000000004</v>
      </c>
    </row>
    <row r="64" spans="2:5">
      <c r="B64" s="126" t="s">
        <v>61</v>
      </c>
      <c r="C64" s="126">
        <v>3</v>
      </c>
      <c r="D64" s="130">
        <f>C64*0.225</f>
        <v>0.67500000000000004</v>
      </c>
      <c r="E64" s="131">
        <f>C64*0.4</f>
        <v>1.2000000000000002</v>
      </c>
    </row>
    <row r="65" spans="2:5">
      <c r="B65" s="126" t="s">
        <v>227</v>
      </c>
      <c r="C65" s="126">
        <v>3</v>
      </c>
      <c r="D65" s="130">
        <f>C65*0.225</f>
        <v>0.67500000000000004</v>
      </c>
      <c r="E65" s="131">
        <f>C65*0.4</f>
        <v>1.2000000000000002</v>
      </c>
    </row>
    <row r="66" spans="2:5">
      <c r="B66" s="126" t="s">
        <v>228</v>
      </c>
      <c r="C66" s="126">
        <f>SUM(C63:C65)-2</f>
        <v>10</v>
      </c>
      <c r="D66" s="130">
        <f>C66*0.225</f>
        <v>2.25</v>
      </c>
      <c r="E66" s="131">
        <f>C66*0.4</f>
        <v>4</v>
      </c>
    </row>
    <row r="68" spans="2:5">
      <c r="B68" t="s">
        <v>1145</v>
      </c>
      <c r="C68" s="129" t="s">
        <v>1135</v>
      </c>
    </row>
    <row r="69" spans="2:5">
      <c r="B69" t="s">
        <v>1145</v>
      </c>
      <c r="C69" s="129" t="s">
        <v>1136</v>
      </c>
    </row>
    <row r="70" spans="2:5">
      <c r="B70" t="s">
        <v>1146</v>
      </c>
      <c r="C70" s="129" t="s">
        <v>1137</v>
      </c>
    </row>
    <row r="71" spans="2:5">
      <c r="B71" t="s">
        <v>1147</v>
      </c>
      <c r="C71" s="129" t="s">
        <v>1138</v>
      </c>
    </row>
    <row r="72" spans="2:5">
      <c r="B72" t="s">
        <v>1147</v>
      </c>
      <c r="C72" s="129" t="s">
        <v>1139</v>
      </c>
    </row>
    <row r="73" spans="2:5">
      <c r="B73" t="s">
        <v>1147</v>
      </c>
      <c r="C73" s="129" t="s">
        <v>1140</v>
      </c>
    </row>
    <row r="74" spans="2:5">
      <c r="B74" t="s">
        <v>1148</v>
      </c>
      <c r="C74" s="129" t="s">
        <v>1141</v>
      </c>
    </row>
    <row r="75" spans="2:5">
      <c r="B75" t="s">
        <v>1145</v>
      </c>
      <c r="C75" s="129" t="s">
        <v>1142</v>
      </c>
    </row>
    <row r="76" spans="2:5">
      <c r="B76" t="s">
        <v>1145</v>
      </c>
      <c r="C76" s="129" t="s">
        <v>1143</v>
      </c>
    </row>
    <row r="77" spans="2:5">
      <c r="B77" t="s">
        <v>1148</v>
      </c>
      <c r="C77" s="129" t="s">
        <v>1144</v>
      </c>
    </row>
  </sheetData>
  <mergeCells count="3">
    <mergeCell ref="C20:E20"/>
    <mergeCell ref="C49:E49"/>
    <mergeCell ref="C61:E61"/>
  </mergeCells>
  <hyperlinks>
    <hyperlink ref="B29" r:id="rId1"/>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sheetPr>
    <tabColor rgb="FFFF0000"/>
  </sheetPr>
  <dimension ref="B2:O154"/>
  <sheetViews>
    <sheetView topLeftCell="A115" workbookViewId="0">
      <selection activeCell="E152" sqref="E152"/>
    </sheetView>
  </sheetViews>
  <sheetFormatPr defaultRowHeight="15" outlineLevelRow="1"/>
  <cols>
    <col min="2" max="2" width="17" style="13" customWidth="1"/>
    <col min="3" max="3" width="19" customWidth="1"/>
  </cols>
  <sheetData>
    <row r="2" spans="2:5" outlineLevel="1">
      <c r="B2" s="14" t="s">
        <v>77</v>
      </c>
    </row>
    <row r="3" spans="2:5" ht="30" outlineLevel="1">
      <c r="C3" s="12" t="str">
        <f>'RegenSW 2012 survey'!F6</f>
        <v>No Projects</v>
      </c>
      <c r="D3" s="12" t="str">
        <f>'RegenSW 2012 survey'!G6</f>
        <v>Capacity (MWe)</v>
      </c>
    </row>
    <row r="4" spans="2:5" outlineLevel="1">
      <c r="B4" s="13" t="str">
        <f>'RegenSW 2012 survey'!A7</f>
        <v>South Hams</v>
      </c>
      <c r="C4" s="11">
        <f>'RegenSW 2012 survey'!F7</f>
        <v>11</v>
      </c>
      <c r="D4" s="11">
        <f>'RegenSW 2012 survey'!G7</f>
        <v>1.3080000000000001</v>
      </c>
    </row>
    <row r="5" spans="2:5" outlineLevel="1">
      <c r="B5" s="13" t="str">
        <f>'RegenSW 2012 survey'!A8</f>
        <v>Teignbridge</v>
      </c>
      <c r="C5" s="11">
        <f>'RegenSW 2012 survey'!F8</f>
        <v>9</v>
      </c>
      <c r="D5" s="11">
        <f>'RegenSW 2012 survey'!G8</f>
        <v>0.38600000000000001</v>
      </c>
      <c r="E5" t="s">
        <v>232</v>
      </c>
    </row>
    <row r="6" spans="2:5" outlineLevel="1">
      <c r="B6" s="13" t="str">
        <f>'RegenSW 2012 survey'!A9</f>
        <v>West Devon</v>
      </c>
      <c r="C6" s="11">
        <f>'RegenSW 2012 survey'!F9</f>
        <v>6</v>
      </c>
      <c r="D6" s="11">
        <f>'RegenSW 2012 survey'!G9</f>
        <v>3.7080000000000002</v>
      </c>
    </row>
    <row r="8" spans="2:5" outlineLevel="1">
      <c r="B8" s="14" t="s">
        <v>78</v>
      </c>
    </row>
    <row r="9" spans="2:5" outlineLevel="1">
      <c r="B9" s="9" t="s">
        <v>79</v>
      </c>
    </row>
    <row r="10" spans="2:5" outlineLevel="1">
      <c r="B10" s="13" t="s">
        <v>80</v>
      </c>
    </row>
    <row r="11" spans="2:5" outlineLevel="1">
      <c r="B11" s="13" t="s">
        <v>81</v>
      </c>
    </row>
    <row r="12" spans="2:5" outlineLevel="1">
      <c r="B12" s="13" t="s">
        <v>82</v>
      </c>
    </row>
    <row r="13" spans="2:5" outlineLevel="1"/>
    <row r="14" spans="2:5" outlineLevel="1"/>
    <row r="15" spans="2:5" outlineLevel="1"/>
    <row r="16" spans="2:5" outlineLevel="1"/>
    <row r="17" spans="2:2" outlineLevel="1"/>
    <row r="18" spans="2:2" outlineLevel="1"/>
    <row r="19" spans="2:2" outlineLevel="1"/>
    <row r="20" spans="2:2" outlineLevel="1"/>
    <row r="21" spans="2:2" outlineLevel="1"/>
    <row r="22" spans="2:2" outlineLevel="1"/>
    <row r="23" spans="2:2" outlineLevel="1"/>
    <row r="24" spans="2:2">
      <c r="B24" s="14" t="s">
        <v>233</v>
      </c>
    </row>
    <row r="25" spans="2:2">
      <c r="B25" s="13" t="s">
        <v>83</v>
      </c>
    </row>
    <row r="27" spans="2:2" outlineLevel="1">
      <c r="B27" s="14" t="s">
        <v>84</v>
      </c>
    </row>
    <row r="28" spans="2:2" outlineLevel="1">
      <c r="B28" s="13" t="s">
        <v>85</v>
      </c>
    </row>
    <row r="29" spans="2:2" outlineLevel="1">
      <c r="B29" s="13" t="s">
        <v>86</v>
      </c>
    </row>
    <row r="30" spans="2:2" outlineLevel="1">
      <c r="B30" s="13" t="s">
        <v>87</v>
      </c>
    </row>
    <row r="31" spans="2:2" outlineLevel="1"/>
    <row r="32" spans="2:2" outlineLevel="1">
      <c r="B32" s="13" t="s">
        <v>88</v>
      </c>
    </row>
    <row r="33" spans="2:11" outlineLevel="1">
      <c r="B33" s="9" t="s">
        <v>107</v>
      </c>
      <c r="G33" t="s">
        <v>104</v>
      </c>
    </row>
    <row r="34" spans="2:11" s="10" customFormat="1" ht="75" outlineLevel="1">
      <c r="B34" s="10" t="s">
        <v>89</v>
      </c>
      <c r="C34" s="10" t="s">
        <v>90</v>
      </c>
      <c r="D34" s="10" t="s">
        <v>48</v>
      </c>
      <c r="E34" s="10" t="s">
        <v>49</v>
      </c>
      <c r="G34" s="12" t="s">
        <v>103</v>
      </c>
      <c r="H34" s="12" t="s">
        <v>105</v>
      </c>
      <c r="I34" s="12" t="s">
        <v>108</v>
      </c>
      <c r="J34" s="12" t="s">
        <v>109</v>
      </c>
      <c r="K34" s="10" t="s">
        <v>111</v>
      </c>
    </row>
    <row r="35" spans="2:11" outlineLevel="1">
      <c r="B35" s="13" t="s">
        <v>91</v>
      </c>
      <c r="C35" t="s">
        <v>95</v>
      </c>
      <c r="D35">
        <v>68</v>
      </c>
      <c r="E35">
        <v>441</v>
      </c>
      <c r="G35" s="15">
        <f t="shared" ref="G35:G43" si="0">E35*1000/D35/8760</f>
        <v>0.74033037872683316</v>
      </c>
      <c r="H35" s="11" t="s">
        <v>106</v>
      </c>
      <c r="I35" s="11" t="s">
        <v>110</v>
      </c>
      <c r="J35" s="11" t="s">
        <v>106</v>
      </c>
      <c r="K35" s="16" t="s">
        <v>112</v>
      </c>
    </row>
    <row r="36" spans="2:11" outlineLevel="1">
      <c r="B36" s="13" t="s">
        <v>91</v>
      </c>
      <c r="C36" t="s">
        <v>96</v>
      </c>
      <c r="D36">
        <v>90</v>
      </c>
      <c r="E36">
        <v>430</v>
      </c>
      <c r="G36" s="15">
        <f t="shared" si="0"/>
        <v>0.5454084221207508</v>
      </c>
      <c r="H36" s="11" t="s">
        <v>106</v>
      </c>
      <c r="I36" s="11" t="s">
        <v>110</v>
      </c>
      <c r="J36" s="11" t="s">
        <v>106</v>
      </c>
      <c r="K36" s="16" t="s">
        <v>112</v>
      </c>
    </row>
    <row r="37" spans="2:11" outlineLevel="1">
      <c r="B37" s="13" t="s">
        <v>91</v>
      </c>
      <c r="C37" t="s">
        <v>97</v>
      </c>
      <c r="D37">
        <v>196</v>
      </c>
      <c r="E37">
        <v>887</v>
      </c>
      <c r="G37" s="15">
        <f t="shared" si="0"/>
        <v>0.5166107538905973</v>
      </c>
      <c r="H37" s="11"/>
      <c r="I37" s="11"/>
      <c r="J37" s="11"/>
      <c r="K37" s="16" t="s">
        <v>113</v>
      </c>
    </row>
    <row r="38" spans="2:11" outlineLevel="1">
      <c r="B38" s="13" t="s">
        <v>92</v>
      </c>
      <c r="C38" t="s">
        <v>98</v>
      </c>
      <c r="D38">
        <v>43</v>
      </c>
      <c r="E38">
        <v>221</v>
      </c>
      <c r="G38" s="15">
        <f t="shared" si="0"/>
        <v>0.58670489540193271</v>
      </c>
      <c r="H38" s="11" t="s">
        <v>106</v>
      </c>
      <c r="I38" s="11" t="s">
        <v>110</v>
      </c>
      <c r="J38" s="11" t="s">
        <v>106</v>
      </c>
      <c r="K38" s="16" t="s">
        <v>114</v>
      </c>
    </row>
    <row r="39" spans="2:11" outlineLevel="1">
      <c r="B39" s="13" t="s">
        <v>93</v>
      </c>
      <c r="C39" t="s">
        <v>99</v>
      </c>
      <c r="D39">
        <v>54</v>
      </c>
      <c r="E39">
        <v>280</v>
      </c>
      <c r="G39" s="15">
        <f t="shared" si="0"/>
        <v>0.59191611703027225</v>
      </c>
      <c r="H39" s="11" t="s">
        <v>106</v>
      </c>
      <c r="I39" s="11" t="s">
        <v>110</v>
      </c>
      <c r="J39" s="11" t="s">
        <v>106</v>
      </c>
      <c r="K39" s="16" t="s">
        <v>115</v>
      </c>
    </row>
    <row r="40" spans="2:11" outlineLevel="1">
      <c r="B40" s="13" t="s">
        <v>92</v>
      </c>
      <c r="C40" t="s">
        <v>100</v>
      </c>
      <c r="D40">
        <v>49</v>
      </c>
      <c r="E40">
        <v>247</v>
      </c>
      <c r="G40" s="15">
        <f t="shared" si="0"/>
        <v>0.57543565371354022</v>
      </c>
      <c r="H40" s="11" t="s">
        <v>116</v>
      </c>
      <c r="I40" s="11" t="s">
        <v>110</v>
      </c>
      <c r="J40" s="11" t="s">
        <v>116</v>
      </c>
      <c r="K40" s="16" t="s">
        <v>117</v>
      </c>
    </row>
    <row r="41" spans="2:11" outlineLevel="1">
      <c r="B41" s="13" t="s">
        <v>93</v>
      </c>
      <c r="C41" t="s">
        <v>101</v>
      </c>
      <c r="D41">
        <v>110</v>
      </c>
      <c r="E41">
        <v>666</v>
      </c>
      <c r="G41" s="15">
        <f t="shared" si="0"/>
        <v>0.69115815691158167</v>
      </c>
      <c r="H41" s="11" t="s">
        <v>106</v>
      </c>
      <c r="I41" s="11" t="s">
        <v>110</v>
      </c>
      <c r="J41" s="11" t="s">
        <v>106</v>
      </c>
      <c r="K41" s="16" t="s">
        <v>115</v>
      </c>
    </row>
    <row r="42" spans="2:11" outlineLevel="1">
      <c r="B42" s="13" t="s">
        <v>94</v>
      </c>
      <c r="C42" t="s">
        <v>102</v>
      </c>
      <c r="D42">
        <v>136</v>
      </c>
      <c r="E42">
        <v>712</v>
      </c>
      <c r="G42" s="15">
        <f t="shared" si="0"/>
        <v>0.59763631479989254</v>
      </c>
      <c r="H42" s="11" t="s">
        <v>106</v>
      </c>
      <c r="I42" s="11" t="s">
        <v>110</v>
      </c>
      <c r="J42" s="11" t="s">
        <v>106</v>
      </c>
      <c r="K42" s="16" t="s">
        <v>119</v>
      </c>
    </row>
    <row r="43" spans="2:11" outlineLevel="1">
      <c r="D43">
        <f>SUM(D35:D42)</f>
        <v>746</v>
      </c>
      <c r="E43">
        <f>SUM(E35:E42)</f>
        <v>3884</v>
      </c>
      <c r="F43" s="17" t="s">
        <v>118</v>
      </c>
      <c r="G43" s="15">
        <f t="shared" si="0"/>
        <v>0.59434181693537524</v>
      </c>
    </row>
    <row r="44" spans="2:11" outlineLevel="1"/>
    <row r="45" spans="2:11" outlineLevel="1">
      <c r="D45" s="8">
        <f>D40/D43</f>
        <v>6.5683646112600538E-2</v>
      </c>
      <c r="E45" t="s">
        <v>120</v>
      </c>
    </row>
    <row r="47" spans="2:11">
      <c r="B47" s="14" t="s">
        <v>121</v>
      </c>
    </row>
    <row r="48" spans="2:11">
      <c r="B48" s="13" t="s">
        <v>122</v>
      </c>
    </row>
    <row r="50" spans="2:12">
      <c r="B50" s="14" t="s">
        <v>123</v>
      </c>
    </row>
    <row r="51" spans="2:12" ht="75">
      <c r="B51" s="13" t="s">
        <v>89</v>
      </c>
      <c r="C51" t="s">
        <v>90</v>
      </c>
      <c r="D51" t="s">
        <v>48</v>
      </c>
      <c r="E51" t="s">
        <v>49</v>
      </c>
      <c r="G51" s="12" t="s">
        <v>103</v>
      </c>
      <c r="H51" s="12" t="s">
        <v>105</v>
      </c>
      <c r="I51" s="12" t="s">
        <v>108</v>
      </c>
      <c r="J51" s="12" t="s">
        <v>109</v>
      </c>
      <c r="K51" s="18" t="s">
        <v>111</v>
      </c>
    </row>
    <row r="52" spans="2:12">
      <c r="B52" s="13" t="s">
        <v>125</v>
      </c>
      <c r="C52" t="s">
        <v>128</v>
      </c>
      <c r="D52">
        <v>2600</v>
      </c>
      <c r="E52">
        <v>11380</v>
      </c>
      <c r="G52" s="25">
        <f>E52*1000/D52/8760</f>
        <v>0.49964875307341061</v>
      </c>
      <c r="H52" s="11"/>
      <c r="I52" s="11" t="s">
        <v>124</v>
      </c>
      <c r="J52" s="11" t="s">
        <v>116</v>
      </c>
      <c r="K52" s="16" t="s">
        <v>147</v>
      </c>
    </row>
    <row r="53" spans="2:12" ht="30">
      <c r="B53" s="13" t="s">
        <v>125</v>
      </c>
      <c r="C53" s="10" t="s">
        <v>129</v>
      </c>
      <c r="D53">
        <v>640</v>
      </c>
      <c r="E53">
        <f>D53*8760*G53/1000</f>
        <v>2800</v>
      </c>
      <c r="G53" s="25">
        <f>280*1000/64/8760</f>
        <v>0.49942922374429222</v>
      </c>
      <c r="H53" s="11"/>
      <c r="I53" s="11" t="s">
        <v>124</v>
      </c>
      <c r="J53" s="11" t="s">
        <v>106</v>
      </c>
      <c r="K53" s="16" t="s">
        <v>133</v>
      </c>
      <c r="L53" t="s">
        <v>132</v>
      </c>
    </row>
    <row r="54" spans="2:12">
      <c r="B54" s="13" t="s">
        <v>126</v>
      </c>
      <c r="C54" t="s">
        <v>234</v>
      </c>
      <c r="D54">
        <v>430</v>
      </c>
      <c r="E54">
        <f>D54*8760*G54/1000</f>
        <v>1880</v>
      </c>
      <c r="G54" s="15">
        <f>188*1000/43/8760</f>
        <v>0.49909737708399704</v>
      </c>
      <c r="H54" s="11"/>
      <c r="I54" s="11" t="s">
        <v>124</v>
      </c>
      <c r="J54" s="11" t="s">
        <v>116</v>
      </c>
      <c r="K54" t="s">
        <v>146</v>
      </c>
      <c r="L54" t="s">
        <v>131</v>
      </c>
    </row>
    <row r="55" spans="2:12">
      <c r="B55" s="13" t="s">
        <v>127</v>
      </c>
      <c r="C55" t="s">
        <v>130</v>
      </c>
      <c r="D55">
        <v>37</v>
      </c>
      <c r="E55">
        <v>170</v>
      </c>
      <c r="G55" s="15">
        <f>E55*1000/D55/8760</f>
        <v>0.52449709983956561</v>
      </c>
      <c r="H55" s="11"/>
      <c r="I55" s="11" t="s">
        <v>124</v>
      </c>
      <c r="J55" s="11" t="s">
        <v>116</v>
      </c>
      <c r="K55" s="16"/>
    </row>
    <row r="56" spans="2:12">
      <c r="D56">
        <f>SUM(D52:D55)</f>
        <v>3707</v>
      </c>
      <c r="E56">
        <f>SUM(E52:E55)</f>
        <v>16230</v>
      </c>
      <c r="G56" s="11"/>
      <c r="H56" s="11"/>
      <c r="I56" s="11"/>
      <c r="J56" s="11"/>
      <c r="K56" s="16"/>
    </row>
    <row r="57" spans="2:12">
      <c r="B57" s="14" t="s">
        <v>153</v>
      </c>
      <c r="G57" s="11"/>
      <c r="H57" s="11"/>
      <c r="I57" s="11"/>
      <c r="J57" s="11"/>
      <c r="K57" s="16"/>
    </row>
    <row r="58" spans="2:12">
      <c r="B58" s="13" t="s">
        <v>190</v>
      </c>
      <c r="C58" t="s">
        <v>197</v>
      </c>
      <c r="D58">
        <v>260</v>
      </c>
      <c r="E58">
        <v>1140</v>
      </c>
      <c r="G58" s="15">
        <f>E58*1000/D58/8760</f>
        <v>0.50052687038988408</v>
      </c>
      <c r="H58" s="11"/>
      <c r="I58" s="11" t="s">
        <v>124</v>
      </c>
      <c r="J58" s="11" t="s">
        <v>116</v>
      </c>
      <c r="K58" s="16"/>
    </row>
    <row r="59" spans="2:12">
      <c r="B59" s="13" t="s">
        <v>191</v>
      </c>
      <c r="C59" t="s">
        <v>198</v>
      </c>
      <c r="D59">
        <v>23</v>
      </c>
      <c r="E59">
        <v>74</v>
      </c>
      <c r="G59" s="15">
        <f t="shared" ref="G59:G77" si="1">E59*1000/D59/8760</f>
        <v>0.3672821123684733</v>
      </c>
      <c r="H59" s="11"/>
      <c r="I59" s="11" t="s">
        <v>124</v>
      </c>
      <c r="J59" s="11" t="s">
        <v>106</v>
      </c>
      <c r="K59" s="16"/>
    </row>
    <row r="60" spans="2:12">
      <c r="B60" s="13" t="s">
        <v>192</v>
      </c>
      <c r="C60" t="s">
        <v>199</v>
      </c>
      <c r="D60">
        <v>55</v>
      </c>
      <c r="E60">
        <v>228</v>
      </c>
      <c r="G60" s="15">
        <f t="shared" si="1"/>
        <v>0.473225404732254</v>
      </c>
      <c r="H60" s="11"/>
      <c r="I60" s="11" t="s">
        <v>124</v>
      </c>
      <c r="J60" s="11" t="s">
        <v>116</v>
      </c>
      <c r="K60" s="16"/>
    </row>
    <row r="61" spans="2:12">
      <c r="B61" s="13" t="s">
        <v>192</v>
      </c>
      <c r="C61" t="s">
        <v>200</v>
      </c>
      <c r="D61">
        <v>14</v>
      </c>
      <c r="E61">
        <v>60</v>
      </c>
      <c r="G61" s="15">
        <f t="shared" si="1"/>
        <v>0.48923679060665359</v>
      </c>
      <c r="H61" s="11"/>
      <c r="I61" s="11" t="s">
        <v>124</v>
      </c>
      <c r="J61" s="11" t="s">
        <v>106</v>
      </c>
      <c r="K61" s="16"/>
    </row>
    <row r="62" spans="2:12">
      <c r="B62" s="13" t="s">
        <v>192</v>
      </c>
      <c r="C62" t="s">
        <v>200</v>
      </c>
      <c r="D62">
        <v>4</v>
      </c>
      <c r="E62">
        <v>22</v>
      </c>
      <c r="G62" s="15">
        <f t="shared" si="1"/>
        <v>0.62785388127853881</v>
      </c>
      <c r="H62" s="11"/>
      <c r="I62" s="11" t="s">
        <v>124</v>
      </c>
      <c r="J62" s="11" t="s">
        <v>106</v>
      </c>
      <c r="K62" s="16"/>
    </row>
    <row r="63" spans="2:12">
      <c r="B63" s="13" t="s">
        <v>127</v>
      </c>
      <c r="C63" t="s">
        <v>201</v>
      </c>
      <c r="D63">
        <v>116</v>
      </c>
      <c r="E63">
        <v>571</v>
      </c>
      <c r="G63" s="15">
        <f t="shared" si="1"/>
        <v>0.56191938277436626</v>
      </c>
      <c r="H63" s="11"/>
      <c r="I63" s="11" t="s">
        <v>124</v>
      </c>
      <c r="J63" s="11" t="s">
        <v>116</v>
      </c>
      <c r="K63" s="16"/>
    </row>
    <row r="64" spans="2:12">
      <c r="B64" s="13" t="s">
        <v>127</v>
      </c>
      <c r="C64" t="s">
        <v>202</v>
      </c>
      <c r="D64">
        <v>66</v>
      </c>
      <c r="E64">
        <v>284</v>
      </c>
      <c r="G64" s="15">
        <f t="shared" si="1"/>
        <v>0.49121350491213506</v>
      </c>
      <c r="H64" s="11"/>
      <c r="I64" s="11" t="s">
        <v>124</v>
      </c>
      <c r="J64" s="11" t="s">
        <v>116</v>
      </c>
      <c r="K64" s="16"/>
    </row>
    <row r="65" spans="2:11">
      <c r="B65" s="13" t="s">
        <v>127</v>
      </c>
      <c r="C65" t="s">
        <v>203</v>
      </c>
      <c r="D65">
        <v>14</v>
      </c>
      <c r="E65">
        <v>90</v>
      </c>
      <c r="G65" s="15">
        <f t="shared" si="1"/>
        <v>0.73385518590998045</v>
      </c>
      <c r="H65" s="11"/>
      <c r="I65" s="11" t="s">
        <v>124</v>
      </c>
      <c r="J65" s="11" t="s">
        <v>116</v>
      </c>
      <c r="K65" s="16"/>
    </row>
    <row r="66" spans="2:11">
      <c r="B66" s="13" t="s">
        <v>127</v>
      </c>
      <c r="C66" t="s">
        <v>204</v>
      </c>
      <c r="D66">
        <v>14</v>
      </c>
      <c r="E66">
        <v>68</v>
      </c>
      <c r="G66" s="15">
        <f t="shared" si="1"/>
        <v>0.55446836268754074</v>
      </c>
      <c r="H66" s="11"/>
      <c r="I66" s="11" t="s">
        <v>124</v>
      </c>
      <c r="J66" s="11" t="s">
        <v>116</v>
      </c>
      <c r="K66" s="16"/>
    </row>
    <row r="67" spans="2:11">
      <c r="B67" s="13" t="s">
        <v>193</v>
      </c>
      <c r="C67" t="s">
        <v>205</v>
      </c>
      <c r="D67">
        <v>185</v>
      </c>
      <c r="E67">
        <v>790</v>
      </c>
      <c r="G67" s="15">
        <f t="shared" si="1"/>
        <v>0.487473775145008</v>
      </c>
      <c r="H67" s="11"/>
      <c r="I67" s="11" t="s">
        <v>124</v>
      </c>
      <c r="J67" s="11" t="s">
        <v>116</v>
      </c>
      <c r="K67" s="16"/>
    </row>
    <row r="68" spans="2:11">
      <c r="B68" s="13" t="s">
        <v>94</v>
      </c>
      <c r="C68" t="s">
        <v>206</v>
      </c>
      <c r="D68">
        <v>433</v>
      </c>
      <c r="E68">
        <v>1990</v>
      </c>
      <c r="G68" s="15">
        <f t="shared" si="1"/>
        <v>0.52463960686302424</v>
      </c>
      <c r="H68" s="11"/>
      <c r="I68" s="11" t="s">
        <v>124</v>
      </c>
      <c r="J68" s="11" t="s">
        <v>116</v>
      </c>
      <c r="K68" s="16" t="s">
        <v>214</v>
      </c>
    </row>
    <row r="69" spans="2:11">
      <c r="B69" s="13" t="s">
        <v>125</v>
      </c>
      <c r="C69" t="s">
        <v>207</v>
      </c>
      <c r="D69">
        <v>124</v>
      </c>
      <c r="E69">
        <v>623</v>
      </c>
      <c r="G69" s="15">
        <f t="shared" si="1"/>
        <v>0.57353807629989684</v>
      </c>
      <c r="H69" s="11"/>
      <c r="I69" s="11" t="s">
        <v>124</v>
      </c>
      <c r="J69" s="11" t="s">
        <v>106</v>
      </c>
      <c r="K69" s="16"/>
    </row>
    <row r="70" spans="2:11">
      <c r="B70" s="13" t="s">
        <v>194</v>
      </c>
      <c r="C70" t="s">
        <v>208</v>
      </c>
      <c r="D70">
        <v>8</v>
      </c>
      <c r="E70">
        <v>25</v>
      </c>
      <c r="G70" s="15">
        <f t="shared" si="1"/>
        <v>0.3567351598173516</v>
      </c>
      <c r="H70" s="11"/>
      <c r="I70" s="11" t="s">
        <v>124</v>
      </c>
      <c r="J70" s="11" t="s">
        <v>116</v>
      </c>
      <c r="K70" s="16"/>
    </row>
    <row r="71" spans="2:11">
      <c r="B71" s="13" t="s">
        <v>195</v>
      </c>
      <c r="C71" t="s">
        <v>209</v>
      </c>
      <c r="D71">
        <v>23</v>
      </c>
      <c r="E71">
        <v>100</v>
      </c>
      <c r="G71" s="15">
        <f t="shared" si="1"/>
        <v>0.49632717887631528</v>
      </c>
      <c r="H71" s="11"/>
      <c r="I71" s="11" t="s">
        <v>124</v>
      </c>
      <c r="J71" s="11" t="s">
        <v>116</v>
      </c>
      <c r="K71" s="16"/>
    </row>
    <row r="72" spans="2:11">
      <c r="B72" s="13" t="s">
        <v>195</v>
      </c>
      <c r="C72" t="s">
        <v>210</v>
      </c>
      <c r="D72">
        <v>132</v>
      </c>
      <c r="E72">
        <v>632</v>
      </c>
      <c r="G72" s="15">
        <f t="shared" si="1"/>
        <v>0.54656150546561511</v>
      </c>
      <c r="H72" s="11"/>
      <c r="I72" s="11" t="s">
        <v>124</v>
      </c>
      <c r="J72" s="11" t="s">
        <v>116</v>
      </c>
      <c r="K72" s="16"/>
    </row>
    <row r="73" spans="2:11">
      <c r="B73" s="13" t="s">
        <v>195</v>
      </c>
      <c r="C73" t="s">
        <v>211</v>
      </c>
      <c r="D73">
        <v>14</v>
      </c>
      <c r="E73">
        <v>50</v>
      </c>
      <c r="G73" s="15">
        <f t="shared" si="1"/>
        <v>0.40769732550554472</v>
      </c>
      <c r="H73" s="11"/>
      <c r="I73" s="11" t="s">
        <v>124</v>
      </c>
      <c r="J73" s="11" t="s">
        <v>116</v>
      </c>
      <c r="K73" s="16"/>
    </row>
    <row r="74" spans="2:11">
      <c r="B74" s="13" t="s">
        <v>195</v>
      </c>
      <c r="C74" t="s">
        <v>212</v>
      </c>
      <c r="D74">
        <v>48</v>
      </c>
      <c r="E74">
        <v>213</v>
      </c>
      <c r="G74" s="15">
        <f t="shared" si="1"/>
        <v>0.50656392694063923</v>
      </c>
      <c r="H74" s="11"/>
      <c r="I74" s="11" t="s">
        <v>124</v>
      </c>
      <c r="J74" s="11" t="s">
        <v>116</v>
      </c>
      <c r="K74" s="16"/>
    </row>
    <row r="75" spans="2:11">
      <c r="B75" s="13" t="s">
        <v>195</v>
      </c>
      <c r="C75" t="s">
        <v>213</v>
      </c>
      <c r="D75">
        <v>228</v>
      </c>
      <c r="E75">
        <v>1411</v>
      </c>
      <c r="G75" s="15">
        <f t="shared" si="1"/>
        <v>0.70646078666987111</v>
      </c>
      <c r="H75" s="11"/>
      <c r="I75" s="11" t="s">
        <v>124</v>
      </c>
      <c r="J75" s="11" t="s">
        <v>106</v>
      </c>
      <c r="K75" s="16"/>
    </row>
    <row r="76" spans="2:11">
      <c r="B76" s="13" t="s">
        <v>196</v>
      </c>
      <c r="C76" t="s">
        <v>196</v>
      </c>
      <c r="D76">
        <v>13</v>
      </c>
      <c r="E76">
        <v>47</v>
      </c>
      <c r="G76" s="15">
        <f t="shared" si="1"/>
        <v>0.41271513874253601</v>
      </c>
      <c r="H76" s="11"/>
      <c r="I76" s="11" t="s">
        <v>124</v>
      </c>
      <c r="J76" s="11" t="s">
        <v>116</v>
      </c>
      <c r="K76" s="16"/>
    </row>
    <row r="77" spans="2:11">
      <c r="D77">
        <f>SUM(D58:D76)</f>
        <v>1774</v>
      </c>
      <c r="E77">
        <f>SUM(E58:E76)</f>
        <v>8418</v>
      </c>
      <c r="F77" s="17" t="s">
        <v>118</v>
      </c>
      <c r="G77" s="15">
        <f t="shared" si="1"/>
        <v>0.5416904758227673</v>
      </c>
      <c r="H77" s="11"/>
      <c r="I77" s="11"/>
      <c r="J77" s="11"/>
      <c r="K77" s="16"/>
    </row>
    <row r="78" spans="2:11">
      <c r="C78" t="s">
        <v>231</v>
      </c>
      <c r="D78">
        <f>D56+D77</f>
        <v>5481</v>
      </c>
      <c r="E78">
        <f>E56+E77</f>
        <v>24648</v>
      </c>
      <c r="F78" s="17"/>
      <c r="G78" s="15">
        <f>E78*1000/D78/8760</f>
        <v>0.51335497721893564</v>
      </c>
      <c r="H78" s="11"/>
      <c r="I78" s="11"/>
      <c r="J78" s="11"/>
      <c r="K78" s="16"/>
    </row>
    <row r="79" spans="2:11">
      <c r="F79" s="17"/>
      <c r="G79" s="15"/>
      <c r="H79" s="11"/>
      <c r="I79" s="11"/>
      <c r="J79" s="11"/>
      <c r="K79" s="16"/>
    </row>
    <row r="80" spans="2:11">
      <c r="G80" s="11"/>
      <c r="H80" s="11"/>
      <c r="I80" s="11"/>
      <c r="J80" s="11"/>
      <c r="K80" s="11"/>
    </row>
    <row r="81" spans="2:15" outlineLevel="1">
      <c r="B81" s="14" t="s">
        <v>135</v>
      </c>
      <c r="G81" s="11"/>
      <c r="H81" s="11"/>
      <c r="I81" s="11"/>
      <c r="J81" s="11"/>
      <c r="K81" s="11"/>
    </row>
    <row r="82" spans="2:15" outlineLevel="1">
      <c r="B82" s="13" t="s">
        <v>138</v>
      </c>
      <c r="G82" s="11"/>
      <c r="H82" s="11"/>
      <c r="I82" s="11"/>
      <c r="J82" s="11"/>
      <c r="K82" s="11"/>
    </row>
    <row r="83" spans="2:15" outlineLevel="1">
      <c r="B83" s="13" t="s">
        <v>136</v>
      </c>
      <c r="G83" s="11"/>
      <c r="H83" s="11"/>
      <c r="I83" s="11"/>
      <c r="J83" s="11"/>
      <c r="K83" s="11"/>
    </row>
    <row r="84" spans="2:15" outlineLevel="1">
      <c r="B84" s="13" t="s">
        <v>137</v>
      </c>
    </row>
    <row r="85" spans="2:15" outlineLevel="1"/>
    <row r="86" spans="2:15" outlineLevel="1">
      <c r="B86" s="13" t="s">
        <v>149</v>
      </c>
    </row>
    <row r="87" spans="2:15" outlineLevel="1"/>
    <row r="88" spans="2:15" outlineLevel="1">
      <c r="B88" s="19" t="s">
        <v>90</v>
      </c>
      <c r="C88" s="1" t="s">
        <v>48</v>
      </c>
      <c r="D88" s="1" t="s">
        <v>108</v>
      </c>
      <c r="E88" s="1" t="s">
        <v>109</v>
      </c>
      <c r="F88" s="1" t="s">
        <v>140</v>
      </c>
    </row>
    <row r="89" spans="2:15" outlineLevel="1">
      <c r="B89" s="20" t="s">
        <v>139</v>
      </c>
    </row>
    <row r="90" spans="2:15" outlineLevel="1">
      <c r="B90" s="13" t="s">
        <v>141</v>
      </c>
      <c r="C90">
        <v>480</v>
      </c>
      <c r="D90" t="s">
        <v>110</v>
      </c>
      <c r="E90" t="s">
        <v>106</v>
      </c>
      <c r="F90" t="s">
        <v>142</v>
      </c>
    </row>
    <row r="91" spans="2:15" outlineLevel="1">
      <c r="B91" s="13" t="s">
        <v>143</v>
      </c>
      <c r="C91">
        <v>2600</v>
      </c>
      <c r="D91" t="s">
        <v>124</v>
      </c>
      <c r="E91" t="s">
        <v>116</v>
      </c>
      <c r="F91" s="16" t="s">
        <v>147</v>
      </c>
    </row>
    <row r="92" spans="2:15" outlineLevel="1">
      <c r="B92" s="13" t="s">
        <v>144</v>
      </c>
      <c r="C92">
        <v>430</v>
      </c>
      <c r="D92" t="s">
        <v>124</v>
      </c>
      <c r="E92" t="s">
        <v>116</v>
      </c>
      <c r="F92" t="s">
        <v>146</v>
      </c>
    </row>
    <row r="93" spans="2:15" outlineLevel="1">
      <c r="B93" s="13" t="s">
        <v>145</v>
      </c>
      <c r="C93">
        <v>640</v>
      </c>
      <c r="D93" t="s">
        <v>124</v>
      </c>
      <c r="E93" t="s">
        <v>106</v>
      </c>
      <c r="F93" s="16" t="s">
        <v>133</v>
      </c>
    </row>
    <row r="94" spans="2:15" outlineLevel="1">
      <c r="B94" s="20" t="s">
        <v>148</v>
      </c>
    </row>
    <row r="95" spans="2:15" outlineLevel="1">
      <c r="B95" s="13" t="s">
        <v>150</v>
      </c>
      <c r="C95">
        <v>200</v>
      </c>
      <c r="D95" t="s">
        <v>110</v>
      </c>
      <c r="E95" t="s">
        <v>106</v>
      </c>
      <c r="F95" s="16" t="s">
        <v>151</v>
      </c>
      <c r="O95" s="9" t="s">
        <v>152</v>
      </c>
    </row>
    <row r="98" spans="2:8" outlineLevel="1">
      <c r="B98" s="14" t="s">
        <v>182</v>
      </c>
    </row>
    <row r="99" spans="2:8" outlineLevel="1">
      <c r="B99" s="13" t="s">
        <v>183</v>
      </c>
    </row>
    <row r="100" spans="2:8" outlineLevel="1">
      <c r="B100" s="13" t="s">
        <v>184</v>
      </c>
    </row>
    <row r="101" spans="2:8" outlineLevel="1">
      <c r="B101" s="13" t="s">
        <v>185</v>
      </c>
      <c r="C101">
        <v>48</v>
      </c>
      <c r="D101" t="s">
        <v>48</v>
      </c>
      <c r="E101" s="6">
        <f>G77</f>
        <v>0.5416904758227673</v>
      </c>
      <c r="F101" t="s">
        <v>41</v>
      </c>
      <c r="G101">
        <f>C101/1000*8760*E101</f>
        <v>227.77001127395721</v>
      </c>
      <c r="H101" t="s">
        <v>49</v>
      </c>
    </row>
    <row r="102" spans="2:8" outlineLevel="1"/>
    <row r="103" spans="2:8" outlineLevel="1">
      <c r="B103" s="13" t="s">
        <v>186</v>
      </c>
    </row>
    <row r="104" spans="2:8" outlineLevel="1">
      <c r="B104" s="13" t="s">
        <v>187</v>
      </c>
    </row>
    <row r="105" spans="2:8" outlineLevel="1">
      <c r="B105" s="13">
        <v>70</v>
      </c>
      <c r="C105" t="s">
        <v>188</v>
      </c>
    </row>
    <row r="106" spans="2:8" outlineLevel="1">
      <c r="B106" s="13">
        <v>3652</v>
      </c>
      <c r="C106" t="s">
        <v>48</v>
      </c>
      <c r="D106" t="s">
        <v>50</v>
      </c>
    </row>
    <row r="107" spans="2:8" outlineLevel="1"/>
    <row r="108" spans="2:8" outlineLevel="1">
      <c r="B108" s="13" t="s">
        <v>189</v>
      </c>
    </row>
    <row r="110" spans="2:8" outlineLevel="1">
      <c r="B110" s="14" t="s">
        <v>163</v>
      </c>
    </row>
    <row r="111" spans="2:8" outlineLevel="1">
      <c r="B111" s="13" t="s">
        <v>164</v>
      </c>
    </row>
    <row r="112" spans="2:8" outlineLevel="1">
      <c r="B112" s="13" t="s">
        <v>165</v>
      </c>
    </row>
    <row r="113" spans="2:12" outlineLevel="1">
      <c r="B113" s="13" t="s">
        <v>166</v>
      </c>
    </row>
    <row r="114" spans="2:12" outlineLevel="1">
      <c r="B114" s="13" t="s">
        <v>167</v>
      </c>
    </row>
    <row r="115" spans="2:12" outlineLevel="1">
      <c r="B115" s="10"/>
    </row>
    <row r="116" spans="2:12" outlineLevel="1">
      <c r="B116" s="13" t="s">
        <v>180</v>
      </c>
    </row>
    <row r="117" spans="2:12" outlineLevel="1">
      <c r="D117" t="s">
        <v>168</v>
      </c>
      <c r="E117" t="s">
        <v>169</v>
      </c>
      <c r="F117" t="s">
        <v>170</v>
      </c>
      <c r="G117" t="s">
        <v>171</v>
      </c>
      <c r="H117" t="s">
        <v>172</v>
      </c>
      <c r="I117" t="s">
        <v>173</v>
      </c>
      <c r="J117" t="s">
        <v>174</v>
      </c>
      <c r="K117" s="23" t="s">
        <v>223</v>
      </c>
    </row>
    <row r="118" spans="2:12" outlineLevel="1">
      <c r="C118" t="s">
        <v>175</v>
      </c>
      <c r="D118">
        <v>7</v>
      </c>
      <c r="E118">
        <v>6</v>
      </c>
      <c r="F118">
        <v>1</v>
      </c>
      <c r="G118">
        <v>0</v>
      </c>
      <c r="H118">
        <v>0</v>
      </c>
      <c r="I118">
        <v>0</v>
      </c>
      <c r="J118">
        <v>0</v>
      </c>
      <c r="K118" s="22">
        <f t="shared" ref="K118:K123" si="2">SUM(D118:J118)</f>
        <v>14</v>
      </c>
    </row>
    <row r="119" spans="2:12" outlineLevel="1">
      <c r="C119" t="s">
        <v>176</v>
      </c>
      <c r="D119">
        <v>1</v>
      </c>
      <c r="E119">
        <v>0</v>
      </c>
      <c r="F119">
        <v>0</v>
      </c>
      <c r="G119">
        <v>1</v>
      </c>
      <c r="H119">
        <v>0</v>
      </c>
      <c r="I119">
        <v>0</v>
      </c>
      <c r="J119">
        <v>0</v>
      </c>
      <c r="K119" s="22">
        <f t="shared" si="2"/>
        <v>2</v>
      </c>
    </row>
    <row r="120" spans="2:12" outlineLevel="1">
      <c r="C120" t="s">
        <v>177</v>
      </c>
      <c r="D120">
        <v>8</v>
      </c>
      <c r="F120">
        <v>3</v>
      </c>
      <c r="G120">
        <v>3</v>
      </c>
      <c r="H120">
        <v>3</v>
      </c>
      <c r="K120" s="22">
        <f t="shared" si="2"/>
        <v>17</v>
      </c>
    </row>
    <row r="121" spans="2:12" outlineLevel="1">
      <c r="C121" t="s">
        <v>178</v>
      </c>
      <c r="D121">
        <v>9</v>
      </c>
      <c r="E121">
        <v>2</v>
      </c>
      <c r="F121">
        <v>6</v>
      </c>
      <c r="G121">
        <v>3</v>
      </c>
      <c r="H121">
        <v>3</v>
      </c>
      <c r="K121" s="22">
        <f t="shared" si="2"/>
        <v>23</v>
      </c>
    </row>
    <row r="122" spans="2:12" outlineLevel="1">
      <c r="C122" t="s">
        <v>179</v>
      </c>
      <c r="D122">
        <v>2</v>
      </c>
      <c r="E122">
        <v>0</v>
      </c>
      <c r="F122">
        <v>0</v>
      </c>
      <c r="G122">
        <v>0</v>
      </c>
      <c r="H122">
        <v>0</v>
      </c>
      <c r="I122">
        <v>0</v>
      </c>
      <c r="J122">
        <v>0</v>
      </c>
      <c r="K122" s="22">
        <f t="shared" si="2"/>
        <v>2</v>
      </c>
    </row>
    <row r="123" spans="2:12" outlineLevel="1">
      <c r="C123" t="s">
        <v>181</v>
      </c>
      <c r="F123">
        <v>1</v>
      </c>
      <c r="G123">
        <v>2</v>
      </c>
      <c r="H123">
        <v>7</v>
      </c>
      <c r="I123">
        <v>2</v>
      </c>
      <c r="J123">
        <v>1</v>
      </c>
      <c r="K123" s="22">
        <f t="shared" si="2"/>
        <v>13</v>
      </c>
      <c r="L123" t="s">
        <v>215</v>
      </c>
    </row>
    <row r="124" spans="2:12" outlineLevel="1"/>
    <row r="125" spans="2:12" outlineLevel="1">
      <c r="B125" s="13" t="s">
        <v>216</v>
      </c>
    </row>
    <row r="126" spans="2:12" outlineLevel="1">
      <c r="B126" s="13" t="s">
        <v>217</v>
      </c>
      <c r="C126" s="6">
        <f>G77</f>
        <v>0.5416904758227673</v>
      </c>
      <c r="D126" t="s">
        <v>218</v>
      </c>
    </row>
    <row r="127" spans="2:12" outlineLevel="1">
      <c r="B127" s="13" t="s">
        <v>219</v>
      </c>
    </row>
    <row r="128" spans="2:12" outlineLevel="1">
      <c r="B128" s="13" t="s">
        <v>220</v>
      </c>
    </row>
    <row r="129" spans="2:12" outlineLevel="1"/>
    <row r="130" spans="2:12" outlineLevel="1">
      <c r="B130" s="13" t="s">
        <v>224</v>
      </c>
      <c r="J130" s="1" t="s">
        <v>221</v>
      </c>
    </row>
    <row r="131" spans="2:12" outlineLevel="1">
      <c r="D131" s="23">
        <v>5</v>
      </c>
      <c r="E131" s="23">
        <v>10</v>
      </c>
      <c r="F131" s="23">
        <v>20</v>
      </c>
      <c r="G131" s="23">
        <v>50</v>
      </c>
      <c r="H131" s="23">
        <v>100</v>
      </c>
      <c r="I131" s="23">
        <v>500</v>
      </c>
      <c r="J131" s="23">
        <v>1500</v>
      </c>
      <c r="K131" s="23" t="s">
        <v>223</v>
      </c>
    </row>
    <row r="132" spans="2:12" outlineLevel="1">
      <c r="C132" t="s">
        <v>175</v>
      </c>
      <c r="D132" s="22">
        <f>D118*D$131</f>
        <v>35</v>
      </c>
      <c r="E132" s="22">
        <f t="shared" ref="E132:J132" si="3">E118*E$131</f>
        <v>60</v>
      </c>
      <c r="F132" s="22">
        <f t="shared" si="3"/>
        <v>20</v>
      </c>
      <c r="G132" s="22">
        <f t="shared" si="3"/>
        <v>0</v>
      </c>
      <c r="H132" s="22">
        <f t="shared" si="3"/>
        <v>0</v>
      </c>
      <c r="I132" s="22">
        <f t="shared" si="3"/>
        <v>0</v>
      </c>
      <c r="J132" s="22">
        <f t="shared" si="3"/>
        <v>0</v>
      </c>
      <c r="K132" s="22">
        <f t="shared" ref="K132:K137" si="4">SUM(D132:J132)</f>
        <v>115</v>
      </c>
    </row>
    <row r="133" spans="2:12" outlineLevel="1">
      <c r="C133" t="s">
        <v>176</v>
      </c>
      <c r="D133" s="22">
        <f t="shared" ref="D133:J137" si="5">D119*D$131</f>
        <v>5</v>
      </c>
      <c r="E133" s="22">
        <f t="shared" si="5"/>
        <v>0</v>
      </c>
      <c r="F133" s="22">
        <f t="shared" si="5"/>
        <v>0</v>
      </c>
      <c r="G133" s="22">
        <f t="shared" si="5"/>
        <v>50</v>
      </c>
      <c r="H133" s="22">
        <f t="shared" si="5"/>
        <v>0</v>
      </c>
      <c r="I133" s="22">
        <f t="shared" si="5"/>
        <v>0</v>
      </c>
      <c r="J133" s="22">
        <f t="shared" si="5"/>
        <v>0</v>
      </c>
      <c r="K133" s="22">
        <f t="shared" si="4"/>
        <v>55</v>
      </c>
    </row>
    <row r="134" spans="2:12" outlineLevel="1">
      <c r="C134" t="s">
        <v>177</v>
      </c>
      <c r="D134" s="22">
        <f t="shared" si="5"/>
        <v>40</v>
      </c>
      <c r="E134" s="22">
        <f t="shared" si="5"/>
        <v>0</v>
      </c>
      <c r="F134" s="22">
        <f t="shared" si="5"/>
        <v>60</v>
      </c>
      <c r="G134" s="22">
        <f t="shared" si="5"/>
        <v>150</v>
      </c>
      <c r="H134" s="22">
        <f t="shared" si="5"/>
        <v>300</v>
      </c>
      <c r="I134" s="22">
        <f t="shared" si="5"/>
        <v>0</v>
      </c>
      <c r="J134" s="22">
        <f t="shared" si="5"/>
        <v>0</v>
      </c>
      <c r="K134" s="22">
        <f t="shared" si="4"/>
        <v>550</v>
      </c>
    </row>
    <row r="135" spans="2:12" outlineLevel="1">
      <c r="C135" t="s">
        <v>178</v>
      </c>
      <c r="D135" s="22">
        <f t="shared" si="5"/>
        <v>45</v>
      </c>
      <c r="E135" s="22">
        <f t="shared" si="5"/>
        <v>20</v>
      </c>
      <c r="F135" s="22">
        <f t="shared" si="5"/>
        <v>120</v>
      </c>
      <c r="G135" s="22">
        <f t="shared" si="5"/>
        <v>150</v>
      </c>
      <c r="H135" s="22">
        <f t="shared" si="5"/>
        <v>300</v>
      </c>
      <c r="I135" s="22">
        <f t="shared" si="5"/>
        <v>0</v>
      </c>
      <c r="J135" s="22">
        <f t="shared" si="5"/>
        <v>0</v>
      </c>
      <c r="K135" s="22">
        <f t="shared" si="4"/>
        <v>635</v>
      </c>
    </row>
    <row r="136" spans="2:12" outlineLevel="1">
      <c r="C136" t="s">
        <v>179</v>
      </c>
      <c r="D136" s="22">
        <f t="shared" si="5"/>
        <v>10</v>
      </c>
      <c r="E136" s="22">
        <f t="shared" si="5"/>
        <v>0</v>
      </c>
      <c r="F136" s="22">
        <f t="shared" si="5"/>
        <v>0</v>
      </c>
      <c r="G136" s="22">
        <f t="shared" si="5"/>
        <v>0</v>
      </c>
      <c r="H136" s="22">
        <f t="shared" si="5"/>
        <v>0</v>
      </c>
      <c r="I136" s="22">
        <f t="shared" si="5"/>
        <v>0</v>
      </c>
      <c r="J136" s="22">
        <f t="shared" si="5"/>
        <v>0</v>
      </c>
      <c r="K136" s="22">
        <f t="shared" si="4"/>
        <v>10</v>
      </c>
    </row>
    <row r="137" spans="2:12" outlineLevel="1">
      <c r="C137" t="s">
        <v>181</v>
      </c>
      <c r="D137" s="22">
        <f t="shared" si="5"/>
        <v>0</v>
      </c>
      <c r="E137" s="22">
        <f t="shared" si="5"/>
        <v>0</v>
      </c>
      <c r="F137" s="22">
        <f t="shared" si="5"/>
        <v>20</v>
      </c>
      <c r="G137" s="22">
        <f t="shared" si="5"/>
        <v>100</v>
      </c>
      <c r="H137" s="22">
        <f t="shared" si="5"/>
        <v>700</v>
      </c>
      <c r="I137" s="22">
        <f t="shared" si="5"/>
        <v>1000</v>
      </c>
      <c r="J137" s="22">
        <f t="shared" si="5"/>
        <v>1500</v>
      </c>
      <c r="K137" s="22">
        <f t="shared" si="4"/>
        <v>3320</v>
      </c>
      <c r="L137" t="s">
        <v>225</v>
      </c>
    </row>
    <row r="138" spans="2:12" outlineLevel="1">
      <c r="D138" s="22"/>
      <c r="E138" s="22"/>
      <c r="F138" s="22"/>
      <c r="G138" s="22"/>
      <c r="H138" s="22"/>
      <c r="I138" s="22"/>
      <c r="J138" s="22"/>
    </row>
    <row r="139" spans="2:12" outlineLevel="1">
      <c r="B139" s="13" t="s">
        <v>222</v>
      </c>
      <c r="J139" s="1"/>
    </row>
    <row r="140" spans="2:12" outlineLevel="1">
      <c r="D140" s="23">
        <v>5</v>
      </c>
      <c r="E140" s="23">
        <v>10</v>
      </c>
      <c r="F140" s="23">
        <v>20</v>
      </c>
      <c r="G140" s="23">
        <v>50</v>
      </c>
      <c r="H140" s="23">
        <v>100</v>
      </c>
      <c r="I140" s="23">
        <v>500</v>
      </c>
      <c r="J140" s="23">
        <v>1500</v>
      </c>
      <c r="K140" s="23" t="s">
        <v>223</v>
      </c>
    </row>
    <row r="141" spans="2:12" outlineLevel="1">
      <c r="C141" t="s">
        <v>175</v>
      </c>
      <c r="D141" s="22">
        <f t="shared" ref="D141:D146" si="6">D$140*D118*8760*$C$126/1000</f>
        <v>166.08229988726046</v>
      </c>
      <c r="E141" s="22">
        <f t="shared" ref="E141:J141" si="7">E$140*E118*8760*$C$126/1000</f>
        <v>284.7125140924465</v>
      </c>
      <c r="F141" s="22">
        <f t="shared" si="7"/>
        <v>94.904171364148837</v>
      </c>
      <c r="G141" s="22">
        <f t="shared" si="7"/>
        <v>0</v>
      </c>
      <c r="H141" s="22">
        <f t="shared" si="7"/>
        <v>0</v>
      </c>
      <c r="I141" s="22">
        <f t="shared" si="7"/>
        <v>0</v>
      </c>
      <c r="J141" s="22">
        <f t="shared" si="7"/>
        <v>0</v>
      </c>
      <c r="K141" s="22">
        <f t="shared" ref="K141:K146" si="8">SUM(D141:J141)</f>
        <v>545.69898534385584</v>
      </c>
    </row>
    <row r="142" spans="2:12" outlineLevel="1">
      <c r="C142" t="s">
        <v>176</v>
      </c>
      <c r="D142" s="22">
        <f t="shared" si="6"/>
        <v>23.726042841037209</v>
      </c>
      <c r="E142" s="22">
        <f t="shared" ref="E142:J146" si="9">E$140*E119*8760*$C$126/1000</f>
        <v>0</v>
      </c>
      <c r="F142" s="22">
        <f t="shared" si="9"/>
        <v>0</v>
      </c>
      <c r="G142" s="22">
        <f t="shared" si="9"/>
        <v>237.26042841037207</v>
      </c>
      <c r="H142" s="22">
        <f t="shared" si="9"/>
        <v>0</v>
      </c>
      <c r="I142" s="22">
        <f t="shared" si="9"/>
        <v>0</v>
      </c>
      <c r="J142" s="22">
        <f t="shared" si="9"/>
        <v>0</v>
      </c>
      <c r="K142" s="22">
        <f t="shared" si="8"/>
        <v>260.98647125140928</v>
      </c>
    </row>
    <row r="143" spans="2:12" outlineLevel="1">
      <c r="C143" t="s">
        <v>177</v>
      </c>
      <c r="D143" s="22">
        <f t="shared" si="6"/>
        <v>189.80834272829767</v>
      </c>
      <c r="E143" s="22">
        <f t="shared" si="9"/>
        <v>0</v>
      </c>
      <c r="F143" s="22">
        <f t="shared" si="9"/>
        <v>284.7125140924465</v>
      </c>
      <c r="G143" s="22">
        <f t="shared" si="9"/>
        <v>711.78128523111627</v>
      </c>
      <c r="H143" s="22">
        <f t="shared" si="9"/>
        <v>1423.5625704622325</v>
      </c>
      <c r="I143" s="22">
        <f t="shared" si="9"/>
        <v>0</v>
      </c>
      <c r="J143" s="22">
        <f t="shared" si="9"/>
        <v>0</v>
      </c>
      <c r="K143" s="22">
        <f t="shared" si="8"/>
        <v>2609.8647125140928</v>
      </c>
    </row>
    <row r="144" spans="2:12" outlineLevel="1">
      <c r="C144" t="s">
        <v>178</v>
      </c>
      <c r="D144" s="22">
        <f t="shared" si="6"/>
        <v>213.53438556933489</v>
      </c>
      <c r="E144" s="22">
        <f t="shared" si="9"/>
        <v>94.904171364148837</v>
      </c>
      <c r="F144" s="22">
        <f t="shared" si="9"/>
        <v>569.42502818489299</v>
      </c>
      <c r="G144" s="22">
        <f t="shared" si="9"/>
        <v>711.78128523111627</v>
      </c>
      <c r="H144" s="22">
        <f t="shared" si="9"/>
        <v>1423.5625704622325</v>
      </c>
      <c r="I144" s="22">
        <f t="shared" si="9"/>
        <v>0</v>
      </c>
      <c r="J144" s="22">
        <f t="shared" si="9"/>
        <v>0</v>
      </c>
      <c r="K144" s="22">
        <f t="shared" si="8"/>
        <v>3013.2074408117255</v>
      </c>
    </row>
    <row r="145" spans="2:14" outlineLevel="1">
      <c r="C145" t="s">
        <v>179</v>
      </c>
      <c r="D145" s="22">
        <f t="shared" si="6"/>
        <v>47.452085682074419</v>
      </c>
      <c r="E145" s="22">
        <f t="shared" si="9"/>
        <v>0</v>
      </c>
      <c r="F145" s="22">
        <f t="shared" si="9"/>
        <v>0</v>
      </c>
      <c r="G145" s="22">
        <f t="shared" si="9"/>
        <v>0</v>
      </c>
      <c r="H145" s="22">
        <f t="shared" si="9"/>
        <v>0</v>
      </c>
      <c r="I145" s="22">
        <f t="shared" si="9"/>
        <v>0</v>
      </c>
      <c r="J145" s="22">
        <f t="shared" si="9"/>
        <v>0</v>
      </c>
      <c r="K145" s="22">
        <f t="shared" si="8"/>
        <v>47.452085682074419</v>
      </c>
    </row>
    <row r="146" spans="2:14" outlineLevel="1">
      <c r="C146" t="s">
        <v>181</v>
      </c>
      <c r="D146" s="22">
        <f t="shared" si="6"/>
        <v>0</v>
      </c>
      <c r="E146" s="22">
        <f t="shared" si="9"/>
        <v>0</v>
      </c>
      <c r="F146" s="22">
        <f t="shared" si="9"/>
        <v>94.904171364148837</v>
      </c>
      <c r="G146" s="22">
        <f t="shared" si="9"/>
        <v>474.52085682074414</v>
      </c>
      <c r="H146" s="22">
        <f t="shared" si="9"/>
        <v>3321.6459977452091</v>
      </c>
      <c r="I146" s="22">
        <f t="shared" si="9"/>
        <v>4745.2085682074421</v>
      </c>
      <c r="J146" s="22">
        <f t="shared" si="9"/>
        <v>7117.8128523111627</v>
      </c>
      <c r="K146" s="22">
        <f t="shared" si="8"/>
        <v>15754.092446448707</v>
      </c>
      <c r="L146" t="s">
        <v>225</v>
      </c>
    </row>
    <row r="147" spans="2:14" outlineLevel="1"/>
    <row r="148" spans="2:14" outlineLevel="1">
      <c r="B148" s="13" t="s">
        <v>226</v>
      </c>
      <c r="D148" s="153" t="s">
        <v>139</v>
      </c>
      <c r="E148" s="153"/>
      <c r="F148" s="153"/>
      <c r="G148" s="153" t="s">
        <v>238</v>
      </c>
      <c r="H148" s="153"/>
      <c r="I148" s="153"/>
      <c r="J148" s="153" t="s">
        <v>223</v>
      </c>
      <c r="K148" s="153"/>
      <c r="L148" s="153"/>
    </row>
    <row r="149" spans="2:14" s="10" customFormat="1" ht="30" outlineLevel="1">
      <c r="D149" s="12" t="s">
        <v>230</v>
      </c>
      <c r="E149" s="12" t="s">
        <v>258</v>
      </c>
      <c r="F149" s="12" t="s">
        <v>236</v>
      </c>
      <c r="G149" s="12" t="s">
        <v>230</v>
      </c>
      <c r="H149" s="12" t="s">
        <v>258</v>
      </c>
      <c r="I149" s="12" t="s">
        <v>236</v>
      </c>
      <c r="J149" s="12" t="s">
        <v>230</v>
      </c>
      <c r="K149" s="12" t="s">
        <v>258</v>
      </c>
      <c r="L149" s="12" t="s">
        <v>236</v>
      </c>
    </row>
    <row r="150" spans="2:14" outlineLevel="1">
      <c r="C150" t="s">
        <v>59</v>
      </c>
      <c r="D150">
        <f>C4</f>
        <v>11</v>
      </c>
      <c r="E150" s="24">
        <f>D4</f>
        <v>1.3080000000000001</v>
      </c>
      <c r="F150" s="21">
        <f>(F151/E151)*E150</f>
        <v>5.7251456310679609</v>
      </c>
      <c r="G150" s="24">
        <f>K118+K119</f>
        <v>16</v>
      </c>
      <c r="H150" s="26">
        <f>(K132+K133)/1000</f>
        <v>0.17</v>
      </c>
      <c r="I150" s="26">
        <f>(K141+K142)/1000</f>
        <v>0.80668545659526514</v>
      </c>
      <c r="J150" s="24">
        <f>D150+G150</f>
        <v>27</v>
      </c>
      <c r="K150" s="24">
        <f t="shared" ref="K150:L153" si="10">E150+H150</f>
        <v>1.478</v>
      </c>
      <c r="L150" s="24">
        <f t="shared" si="10"/>
        <v>6.5318310876632264</v>
      </c>
      <c r="N150" t="s">
        <v>237</v>
      </c>
    </row>
    <row r="151" spans="2:14" outlineLevel="1">
      <c r="C151" t="s">
        <v>61</v>
      </c>
      <c r="D151">
        <f>C6</f>
        <v>6</v>
      </c>
      <c r="E151" s="24">
        <f>D6</f>
        <v>3.7080000000000002</v>
      </c>
      <c r="F151" s="21">
        <f>E56/1000</f>
        <v>16.23</v>
      </c>
      <c r="G151" s="24">
        <f>K120+K121</f>
        <v>40</v>
      </c>
      <c r="H151" s="26">
        <f>(K134+K135)/1000</f>
        <v>1.1850000000000001</v>
      </c>
      <c r="I151" s="26">
        <f>(K143+K144)/1000</f>
        <v>5.6230721533258183</v>
      </c>
      <c r="J151" s="24">
        <f>D151+G151</f>
        <v>46</v>
      </c>
      <c r="K151" s="24">
        <f t="shared" si="10"/>
        <v>4.8930000000000007</v>
      </c>
      <c r="L151" s="24">
        <f t="shared" si="10"/>
        <v>21.853072153325819</v>
      </c>
    </row>
    <row r="152" spans="2:14" outlineLevel="1">
      <c r="C152" t="s">
        <v>227</v>
      </c>
      <c r="D152">
        <v>4</v>
      </c>
      <c r="E152" s="24">
        <f>(D52+D54+D55+C101)/1000</f>
        <v>3.1150000000000002</v>
      </c>
      <c r="F152" s="21">
        <f>(E52+E54+E55+G101)/1000</f>
        <v>13.657770011273957</v>
      </c>
      <c r="G152" s="24">
        <f>K119+K121+K122</f>
        <v>27</v>
      </c>
      <c r="H152" s="26">
        <f>(K133+K135+K136)/1000</f>
        <v>0.7</v>
      </c>
      <c r="I152" s="26">
        <f>(K142+K144+K145)/1000</f>
        <v>3.3216459977452097</v>
      </c>
      <c r="J152" s="24">
        <f>D152+G152</f>
        <v>31</v>
      </c>
      <c r="K152" s="24">
        <f t="shared" si="10"/>
        <v>3.8150000000000004</v>
      </c>
      <c r="L152" s="24">
        <f t="shared" si="10"/>
        <v>16.979416009019168</v>
      </c>
    </row>
    <row r="153" spans="2:14" outlineLevel="1">
      <c r="C153" t="s">
        <v>228</v>
      </c>
      <c r="D153">
        <f>D150+D151</f>
        <v>17</v>
      </c>
      <c r="E153" s="24">
        <f>E150+E151</f>
        <v>5.016</v>
      </c>
      <c r="F153" s="21">
        <f>F150+F151</f>
        <v>21.95514563106796</v>
      </c>
      <c r="G153" s="24">
        <f>SUM(K118:K122)</f>
        <v>58</v>
      </c>
      <c r="H153" s="26">
        <f>SUM(K132:K136)/1000</f>
        <v>1.365</v>
      </c>
      <c r="I153" s="26">
        <f>SUM(K141:K145)/1000</f>
        <v>6.4772096956031584</v>
      </c>
      <c r="J153" s="24">
        <f>D153+G153</f>
        <v>75</v>
      </c>
      <c r="K153" s="24">
        <f t="shared" si="10"/>
        <v>6.3810000000000002</v>
      </c>
      <c r="L153" s="24">
        <f t="shared" si="10"/>
        <v>28.432355326671118</v>
      </c>
    </row>
    <row r="154" spans="2:14" outlineLevel="1">
      <c r="B154" s="13" t="s">
        <v>235</v>
      </c>
    </row>
  </sheetData>
  <mergeCells count="3">
    <mergeCell ref="G148:I148"/>
    <mergeCell ref="D148:F148"/>
    <mergeCell ref="J148:L148"/>
  </mergeCells>
  <hyperlinks>
    <hyperlink ref="B9" r:id="rId1"/>
    <hyperlink ref="B33" r:id="rId2"/>
    <hyperlink ref="O95" r:id="rId3"/>
  </hyperlinks>
  <pageMargins left="0.7" right="0.7" top="0.75" bottom="0.75" header="0.3" footer="0.3"/>
  <pageSetup paperSize="9" orientation="portrait" r:id="rId4"/>
  <drawing r:id="rId5"/>
</worksheet>
</file>

<file path=xl/worksheets/sheet13.xml><?xml version="1.0" encoding="utf-8"?>
<worksheet xmlns="http://schemas.openxmlformats.org/spreadsheetml/2006/main" xmlns:r="http://schemas.openxmlformats.org/officeDocument/2006/relationships">
  <sheetPr>
    <tabColor rgb="FFFF0000"/>
  </sheetPr>
  <dimension ref="B1:D31"/>
  <sheetViews>
    <sheetView workbookViewId="0">
      <selection activeCell="B22" sqref="B22"/>
    </sheetView>
  </sheetViews>
  <sheetFormatPr defaultRowHeight="15"/>
  <cols>
    <col min="1" max="1" width="5.28515625" customWidth="1"/>
    <col min="2" max="2" width="11.140625" bestFit="1" customWidth="1"/>
  </cols>
  <sheetData>
    <row r="1" spans="2:4">
      <c r="B1" t="s">
        <v>16</v>
      </c>
    </row>
    <row r="3" spans="2:4">
      <c r="B3" s="4" t="s">
        <v>17</v>
      </c>
    </row>
    <row r="4" spans="2:4">
      <c r="B4">
        <v>3</v>
      </c>
      <c r="C4" t="s">
        <v>18</v>
      </c>
    </row>
    <row r="5" spans="2:4">
      <c r="B5">
        <v>4.5</v>
      </c>
      <c r="C5" t="s">
        <v>19</v>
      </c>
      <c r="D5" t="s">
        <v>20</v>
      </c>
    </row>
    <row r="6" spans="2:4">
      <c r="B6">
        <v>55</v>
      </c>
      <c r="C6" t="s">
        <v>21</v>
      </c>
      <c r="D6" t="s">
        <v>22</v>
      </c>
    </row>
    <row r="7" spans="2:4">
      <c r="B7">
        <v>10</v>
      </c>
      <c r="C7" t="s">
        <v>21</v>
      </c>
      <c r="D7" t="s">
        <v>23</v>
      </c>
    </row>
    <row r="8" spans="2:4">
      <c r="B8" s="5">
        <v>40000000</v>
      </c>
      <c r="C8" t="s">
        <v>24</v>
      </c>
    </row>
    <row r="9" spans="2:4">
      <c r="B9" s="6">
        <v>0.8</v>
      </c>
      <c r="C9" t="s">
        <v>25</v>
      </c>
    </row>
    <row r="10" spans="2:4">
      <c r="B10">
        <f>(B6+B7)/B9</f>
        <v>81.25</v>
      </c>
      <c r="C10" t="s">
        <v>21</v>
      </c>
      <c r="D10" t="s">
        <v>26</v>
      </c>
    </row>
    <row r="11" spans="2:4">
      <c r="B11" s="6">
        <v>0.25</v>
      </c>
      <c r="C11" t="s">
        <v>27</v>
      </c>
    </row>
    <row r="12" spans="2:4">
      <c r="B12">
        <f>B10*B11</f>
        <v>20.3125</v>
      </c>
      <c r="C12" t="s">
        <v>21</v>
      </c>
      <c r="D12" t="s">
        <v>28</v>
      </c>
    </row>
    <row r="13" spans="2:4">
      <c r="B13" s="6">
        <v>0.95</v>
      </c>
      <c r="C13" t="s">
        <v>38</v>
      </c>
    </row>
    <row r="14" spans="2:4">
      <c r="B14">
        <f>B13*8760*B12/1000</f>
        <v>169.04062500000001</v>
      </c>
      <c r="C14" t="s">
        <v>29</v>
      </c>
      <c r="D14" t="s">
        <v>30</v>
      </c>
    </row>
    <row r="15" spans="2:4">
      <c r="B15" s="7">
        <f>B8/B14</f>
        <v>236629.50843916956</v>
      </c>
      <c r="C15" t="s">
        <v>44</v>
      </c>
    </row>
    <row r="17" spans="2:4">
      <c r="B17" s="4" t="s">
        <v>31</v>
      </c>
    </row>
    <row r="18" spans="2:4">
      <c r="B18" s="5">
        <v>1000000</v>
      </c>
      <c r="C18" t="s">
        <v>32</v>
      </c>
    </row>
    <row r="19" spans="2:4">
      <c r="B19" s="6">
        <v>0.25</v>
      </c>
      <c r="C19" t="s">
        <v>33</v>
      </c>
    </row>
    <row r="20" spans="2:4">
      <c r="B20">
        <v>2.5</v>
      </c>
      <c r="C20" t="s">
        <v>21</v>
      </c>
      <c r="D20" t="s">
        <v>34</v>
      </c>
    </row>
    <row r="21" spans="2:4">
      <c r="B21">
        <f>B14*1000/8760/B20/B19</f>
        <v>30.875</v>
      </c>
      <c r="C21" t="s">
        <v>35</v>
      </c>
    </row>
    <row r="22" spans="2:4">
      <c r="B22">
        <f>B21*B20</f>
        <v>77.1875</v>
      </c>
      <c r="C22" t="s">
        <v>21</v>
      </c>
      <c r="D22" t="s">
        <v>36</v>
      </c>
    </row>
    <row r="23" spans="2:4">
      <c r="B23" s="5">
        <f>B22*B18</f>
        <v>77187500</v>
      </c>
      <c r="C23" t="s">
        <v>37</v>
      </c>
    </row>
    <row r="24" spans="2:4">
      <c r="B24" s="7">
        <f>B23/B14</f>
        <v>456621.00456621003</v>
      </c>
      <c r="C24" t="s">
        <v>39</v>
      </c>
    </row>
    <row r="25" spans="2:4">
      <c r="B25">
        <f>B24/B15</f>
        <v>1.9296875000000002</v>
      </c>
    </row>
    <row r="27" spans="2:4">
      <c r="B27" s="4" t="s">
        <v>40</v>
      </c>
    </row>
    <row r="28" spans="2:4">
      <c r="B28">
        <v>4</v>
      </c>
      <c r="C28" t="s">
        <v>21</v>
      </c>
    </row>
    <row r="29" spans="2:4">
      <c r="B29" s="6">
        <v>0.95</v>
      </c>
      <c r="C29" t="s">
        <v>41</v>
      </c>
    </row>
    <row r="30" spans="2:4">
      <c r="B30">
        <f>B28*8760*B29/1000</f>
        <v>33.287999999999997</v>
      </c>
      <c r="C30" t="s">
        <v>42</v>
      </c>
    </row>
    <row r="31" spans="2:4">
      <c r="B31" s="8">
        <f>B30/B14</f>
        <v>0.1969230769230769</v>
      </c>
      <c r="C31" t="s">
        <v>43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sheetPr>
    <tabColor rgb="FFFF0000"/>
  </sheetPr>
  <dimension ref="B1:D11"/>
  <sheetViews>
    <sheetView workbookViewId="0">
      <selection activeCell="B13" sqref="B13"/>
    </sheetView>
  </sheetViews>
  <sheetFormatPr defaultRowHeight="15"/>
  <sheetData>
    <row r="1" spans="2:4">
      <c r="B1" t="s">
        <v>45</v>
      </c>
    </row>
    <row r="3" spans="2:4">
      <c r="B3" s="4" t="s">
        <v>46</v>
      </c>
    </row>
    <row r="4" spans="2:4">
      <c r="B4" t="s">
        <v>47</v>
      </c>
    </row>
    <row r="5" spans="2:4">
      <c r="B5">
        <v>64</v>
      </c>
      <c r="C5" t="s">
        <v>48</v>
      </c>
      <c r="D5" t="s">
        <v>50</v>
      </c>
    </row>
    <row r="6" spans="2:4">
      <c r="B6">
        <v>64</v>
      </c>
      <c r="C6" t="s">
        <v>49</v>
      </c>
      <c r="D6" t="s">
        <v>52</v>
      </c>
    </row>
    <row r="7" spans="2:4">
      <c r="B7" s="8">
        <f>B6*1000/8760/B5</f>
        <v>0.11415525114155251</v>
      </c>
      <c r="C7" t="s">
        <v>51</v>
      </c>
    </row>
    <row r="8" spans="2:4">
      <c r="B8" t="s">
        <v>53</v>
      </c>
    </row>
    <row r="10" spans="2:4">
      <c r="B10" s="4" t="s">
        <v>54</v>
      </c>
    </row>
    <row r="11" spans="2:4">
      <c r="B11" t="s">
        <v>55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00B050"/>
  </sheetPr>
  <dimension ref="A1:AQ167"/>
  <sheetViews>
    <sheetView workbookViewId="0">
      <pane ySplit="2" topLeftCell="A145" activePane="bottomLeft" state="frozen"/>
      <selection pane="bottomLeft" activeCell="A2" sqref="A2:D166"/>
    </sheetView>
  </sheetViews>
  <sheetFormatPr defaultRowHeight="15"/>
  <cols>
    <col min="1" max="1" width="11.7109375" bestFit="1" customWidth="1"/>
    <col min="2" max="2" width="11.5703125" customWidth="1"/>
    <col min="3" max="3" width="16.28515625" customWidth="1"/>
    <col min="25" max="25" width="9.140625" style="109"/>
  </cols>
  <sheetData>
    <row r="1" spans="1:43">
      <c r="AJ1" s="153" t="s">
        <v>59</v>
      </c>
      <c r="AK1" s="153"/>
      <c r="AL1" s="153" t="s">
        <v>61</v>
      </c>
      <c r="AM1" s="153"/>
      <c r="AN1" s="153" t="s">
        <v>227</v>
      </c>
      <c r="AO1" s="153"/>
      <c r="AP1" s="153" t="s">
        <v>579</v>
      </c>
      <c r="AQ1" s="153"/>
    </row>
    <row r="2" spans="1:43" ht="240">
      <c r="A2" s="1" t="s">
        <v>108</v>
      </c>
      <c r="B2" s="1" t="s">
        <v>693</v>
      </c>
      <c r="C2" s="1" t="s">
        <v>693</v>
      </c>
      <c r="D2" s="110" t="s">
        <v>644</v>
      </c>
      <c r="E2" s="110" t="s">
        <v>694</v>
      </c>
      <c r="F2" s="110" t="s">
        <v>695</v>
      </c>
      <c r="G2" s="110" t="s">
        <v>696</v>
      </c>
      <c r="H2" s="110" t="s">
        <v>697</v>
      </c>
      <c r="I2" s="110" t="s">
        <v>698</v>
      </c>
      <c r="J2" s="110" t="s">
        <v>699</v>
      </c>
      <c r="K2" s="110" t="s">
        <v>700</v>
      </c>
      <c r="L2" s="110" t="s">
        <v>615</v>
      </c>
      <c r="M2" s="110" t="s">
        <v>616</v>
      </c>
      <c r="N2" s="110" t="s">
        <v>617</v>
      </c>
      <c r="O2" s="110" t="s">
        <v>618</v>
      </c>
      <c r="P2" s="110" t="s">
        <v>619</v>
      </c>
      <c r="Q2" s="110" t="s">
        <v>620</v>
      </c>
      <c r="R2" s="110" t="s">
        <v>621</v>
      </c>
      <c r="S2" s="110" t="s">
        <v>622</v>
      </c>
      <c r="T2" s="110" t="s">
        <v>623</v>
      </c>
      <c r="U2" s="110" t="s">
        <v>624</v>
      </c>
      <c r="V2" s="110" t="s">
        <v>625</v>
      </c>
      <c r="W2" s="110" t="s">
        <v>626</v>
      </c>
      <c r="Y2" s="110" t="s">
        <v>1044</v>
      </c>
      <c r="Z2" s="110" t="s">
        <v>1047</v>
      </c>
      <c r="AA2" s="110" t="s">
        <v>1048</v>
      </c>
      <c r="AB2" s="110" t="s">
        <v>1049</v>
      </c>
      <c r="AC2" s="110" t="s">
        <v>1045</v>
      </c>
      <c r="AD2" s="110" t="s">
        <v>1046</v>
      </c>
      <c r="AE2" s="110" t="s">
        <v>1051</v>
      </c>
      <c r="AF2" s="110" t="s">
        <v>1052</v>
      </c>
      <c r="AG2" s="110" t="s">
        <v>1053</v>
      </c>
      <c r="AH2" s="110" t="s">
        <v>1054</v>
      </c>
      <c r="AI2" s="110" t="s">
        <v>1055</v>
      </c>
      <c r="AJ2" s="110" t="s">
        <v>1054</v>
      </c>
      <c r="AK2" s="110" t="s">
        <v>1055</v>
      </c>
      <c r="AL2" s="110" t="s">
        <v>1054</v>
      </c>
      <c r="AM2" s="110" t="s">
        <v>1055</v>
      </c>
      <c r="AN2" s="110" t="s">
        <v>1054</v>
      </c>
      <c r="AO2" s="110" t="s">
        <v>1055</v>
      </c>
      <c r="AP2" s="110" t="s">
        <v>1054</v>
      </c>
      <c r="AQ2" s="110" t="s">
        <v>1055</v>
      </c>
    </row>
    <row r="3" spans="1:43">
      <c r="A3" t="s">
        <v>59</v>
      </c>
      <c r="B3" t="s">
        <v>701</v>
      </c>
      <c r="C3" t="s">
        <v>702</v>
      </c>
      <c r="D3" s="117">
        <v>0</v>
      </c>
      <c r="E3" s="109">
        <v>587</v>
      </c>
      <c r="F3" s="109">
        <v>37</v>
      </c>
      <c r="G3" s="117">
        <v>5.9294871794871792E-2</v>
      </c>
      <c r="H3" s="109">
        <v>596</v>
      </c>
      <c r="I3" s="109">
        <v>0</v>
      </c>
      <c r="J3" s="117">
        <v>0</v>
      </c>
      <c r="K3" s="117">
        <v>4.4871794871794823E-2</v>
      </c>
      <c r="L3" s="109">
        <v>616</v>
      </c>
      <c r="M3" s="109">
        <v>616</v>
      </c>
      <c r="N3" s="109">
        <v>611</v>
      </c>
      <c r="O3" s="109">
        <v>285</v>
      </c>
      <c r="P3" s="109">
        <v>114</v>
      </c>
      <c r="Q3" s="109">
        <v>212</v>
      </c>
      <c r="R3" s="109">
        <v>5</v>
      </c>
      <c r="S3" s="109">
        <v>4</v>
      </c>
      <c r="T3" s="109">
        <v>0</v>
      </c>
      <c r="U3" s="109">
        <v>1</v>
      </c>
      <c r="V3" s="109">
        <v>0</v>
      </c>
      <c r="W3" s="109">
        <v>0</v>
      </c>
      <c r="Y3" s="24">
        <f>(S3+T3)*'space heating'!$C$20</f>
        <v>1</v>
      </c>
      <c r="Z3" s="24">
        <f>$J3*O3</f>
        <v>0</v>
      </c>
      <c r="AA3" s="24">
        <f>$J3*P3</f>
        <v>0</v>
      </c>
      <c r="AB3" s="24">
        <f>$J3*Q3</f>
        <v>0</v>
      </c>
      <c r="AC3" s="24">
        <f>(Z3+AA3)*'space heating'!$C$22</f>
        <v>0</v>
      </c>
      <c r="AD3" s="24">
        <f>AB3*'space heating'!$C$23</f>
        <v>0</v>
      </c>
      <c r="AE3" s="24">
        <f>(O3+P3-Z3-AA3)*'space heating'!$C$24</f>
        <v>149.625</v>
      </c>
      <c r="AF3" s="24">
        <f>(O3+P3-Z3-AA3)*'space heating'!$C$25</f>
        <v>149.625</v>
      </c>
      <c r="AG3" s="24">
        <f>(Q3-AB3)*'space heating'!$C$26</f>
        <v>106</v>
      </c>
      <c r="AH3" s="24">
        <f>AC3+AE3</f>
        <v>149.625</v>
      </c>
      <c r="AI3" s="24">
        <f>Y3+AD3+AF3+AG3</f>
        <v>256.625</v>
      </c>
      <c r="AJ3" s="24">
        <f>IF($A3="South hams",AH3,0)</f>
        <v>149.625</v>
      </c>
      <c r="AK3" s="24">
        <f>IF($A3="South hams",AI3,0)</f>
        <v>256.625</v>
      </c>
      <c r="AL3" s="24">
        <f>IF($A3="west devon",AH3,0)</f>
        <v>0</v>
      </c>
      <c r="AM3" s="24">
        <f>IF($A3="west devon",AI3,0)</f>
        <v>0</v>
      </c>
      <c r="AN3" s="24">
        <f>AH3*$D3</f>
        <v>0</v>
      </c>
      <c r="AO3" s="24">
        <f>AI3*$D3</f>
        <v>0</v>
      </c>
      <c r="AP3" s="24">
        <f>IF(AND($A3="teignbridge",$D3&gt;0),AN3,0)</f>
        <v>0</v>
      </c>
      <c r="AQ3" s="24">
        <f>IF(AND($A3="teignbridge",$D3&gt;0),AO3,0)</f>
        <v>0</v>
      </c>
    </row>
    <row r="4" spans="1:43">
      <c r="A4" t="s">
        <v>59</v>
      </c>
      <c r="B4" t="s">
        <v>703</v>
      </c>
      <c r="C4" t="s">
        <v>704</v>
      </c>
      <c r="D4" s="117">
        <v>0.12087912087912088</v>
      </c>
      <c r="E4" s="109">
        <v>608</v>
      </c>
      <c r="F4" s="109">
        <v>158</v>
      </c>
      <c r="G4" s="117">
        <v>0.20626631853785901</v>
      </c>
      <c r="H4" s="109">
        <v>358</v>
      </c>
      <c r="I4" s="109">
        <v>325</v>
      </c>
      <c r="J4" s="117">
        <v>0.4642857142857143</v>
      </c>
      <c r="K4" s="117">
        <v>6.8351361432301361E-2</v>
      </c>
      <c r="L4" s="109">
        <v>749</v>
      </c>
      <c r="M4" s="109">
        <v>749</v>
      </c>
      <c r="N4" s="109">
        <v>737</v>
      </c>
      <c r="O4" s="109">
        <v>377</v>
      </c>
      <c r="P4" s="109">
        <v>176</v>
      </c>
      <c r="Q4" s="109">
        <v>184</v>
      </c>
      <c r="R4" s="109">
        <v>11</v>
      </c>
      <c r="S4" s="109">
        <v>3</v>
      </c>
      <c r="T4" s="109">
        <v>7</v>
      </c>
      <c r="U4" s="109">
        <v>1</v>
      </c>
      <c r="V4" s="109">
        <v>1</v>
      </c>
      <c r="W4" s="109">
        <v>0</v>
      </c>
      <c r="Y4" s="24">
        <f>(S4+T4)*'space heating'!$C$20</f>
        <v>2.5</v>
      </c>
      <c r="Z4" s="24">
        <f t="shared" ref="Z4:Z67" si="0">$J4*O4</f>
        <v>175.03571428571428</v>
      </c>
      <c r="AA4" s="24">
        <f t="shared" ref="AA4:AA67" si="1">$J4*P4</f>
        <v>81.714285714285722</v>
      </c>
      <c r="AB4" s="24">
        <f t="shared" ref="AB4:AB67" si="2">$J4*Q4</f>
        <v>85.428571428571431</v>
      </c>
      <c r="AC4" s="24">
        <f>(Z4+AA4)*'space heating'!$C$22</f>
        <v>256.75</v>
      </c>
      <c r="AD4" s="24">
        <f>AB4*'space heating'!$C$23</f>
        <v>85.428571428571431</v>
      </c>
      <c r="AE4" s="24">
        <f>(O4+P4-Z4-AA4)*'space heating'!$C$24</f>
        <v>111.09375</v>
      </c>
      <c r="AF4" s="24">
        <f>(O4+P4-Z4-AA4)*'space heating'!$C$25</f>
        <v>111.09375</v>
      </c>
      <c r="AG4" s="24">
        <f>(Q4-AB4)*'space heating'!$C$26</f>
        <v>49.285714285714285</v>
      </c>
      <c r="AH4" s="24">
        <f t="shared" ref="AH4:AH67" si="3">AC4+AE4</f>
        <v>367.84375</v>
      </c>
      <c r="AI4" s="24">
        <f t="shared" ref="AI4:AI67" si="4">Y4+AD4+AF4+AG4</f>
        <v>248.30803571428572</v>
      </c>
      <c r="AJ4" s="24">
        <f t="shared" ref="AJ4:AJ19" si="5">IF($A4="South hams",AH4,0)</f>
        <v>367.84375</v>
      </c>
      <c r="AK4" s="24">
        <f t="shared" ref="AK4:AK19" si="6">IF($A4="South hams",AI4,0)</f>
        <v>248.30803571428572</v>
      </c>
      <c r="AL4" s="24">
        <f t="shared" ref="AL4:AL67" si="7">IF($A4="west devon",AH4,0)</f>
        <v>0</v>
      </c>
      <c r="AM4" s="24">
        <f t="shared" ref="AM4:AM67" si="8">IF($A4="west devon",AI4,0)</f>
        <v>0</v>
      </c>
      <c r="AN4" s="24">
        <f t="shared" ref="AN4:AN19" si="9">AH4*$D4</f>
        <v>44.464629120879124</v>
      </c>
      <c r="AO4" s="24">
        <f t="shared" ref="AO4:AO19" si="10">AI4*$D4</f>
        <v>30.01525706436421</v>
      </c>
      <c r="AP4" s="24">
        <f t="shared" ref="AP4:AP19" si="11">IF(AND($A4="teignbridge",$D4&gt;0),AN4,0)</f>
        <v>0</v>
      </c>
      <c r="AQ4" s="24">
        <f t="shared" ref="AQ4:AQ19" si="12">IF(AND($A4="teignbridge",$D4&gt;0),AO4,0)</f>
        <v>0</v>
      </c>
    </row>
    <row r="5" spans="1:43">
      <c r="A5" t="s">
        <v>59</v>
      </c>
      <c r="B5" t="s">
        <v>705</v>
      </c>
      <c r="C5" t="s">
        <v>706</v>
      </c>
      <c r="D5" s="117">
        <v>0</v>
      </c>
      <c r="E5" s="109">
        <v>457</v>
      </c>
      <c r="F5" s="109">
        <v>91</v>
      </c>
      <c r="G5" s="117">
        <v>0.16605839416058393</v>
      </c>
      <c r="H5" s="109">
        <v>472</v>
      </c>
      <c r="I5" s="109">
        <v>15</v>
      </c>
      <c r="J5" s="117">
        <v>2.7372262773722629E-2</v>
      </c>
      <c r="K5" s="117">
        <v>0.11131386861313874</v>
      </c>
      <c r="L5" s="109">
        <v>525</v>
      </c>
      <c r="M5" s="109">
        <v>525</v>
      </c>
      <c r="N5" s="109">
        <v>463</v>
      </c>
      <c r="O5" s="109">
        <v>130</v>
      </c>
      <c r="P5" s="109">
        <v>175</v>
      </c>
      <c r="Q5" s="109">
        <v>158</v>
      </c>
      <c r="R5" s="109">
        <v>62</v>
      </c>
      <c r="S5" s="109">
        <v>55</v>
      </c>
      <c r="T5" s="109">
        <v>6</v>
      </c>
      <c r="U5" s="109">
        <v>1</v>
      </c>
      <c r="V5" s="109">
        <v>0</v>
      </c>
      <c r="W5" s="109">
        <v>0</v>
      </c>
      <c r="Y5" s="24">
        <f>(S5+T5)*'space heating'!$C$20</f>
        <v>15.25</v>
      </c>
      <c r="Z5" s="24">
        <f t="shared" si="0"/>
        <v>3.558394160583942</v>
      </c>
      <c r="AA5" s="24">
        <f t="shared" si="1"/>
        <v>4.7901459854014599</v>
      </c>
      <c r="AB5" s="24">
        <f t="shared" si="2"/>
        <v>4.3248175182481754</v>
      </c>
      <c r="AC5" s="24">
        <f>(Z5+AA5)*'space heating'!$C$22</f>
        <v>8.3485401459854014</v>
      </c>
      <c r="AD5" s="24">
        <f>AB5*'space heating'!$C$23</f>
        <v>4.3248175182481754</v>
      </c>
      <c r="AE5" s="24">
        <f>(O5+P5-Z5-AA5)*'space heating'!$C$24</f>
        <v>111.24429744525548</v>
      </c>
      <c r="AF5" s="24">
        <f>(O5+P5-Z5-AA5)*'space heating'!$C$25</f>
        <v>111.24429744525548</v>
      </c>
      <c r="AG5" s="24">
        <f>(Q5-AB5)*'space heating'!$C$26</f>
        <v>76.837591240875909</v>
      </c>
      <c r="AH5" s="24">
        <f t="shared" si="3"/>
        <v>119.59283759124088</v>
      </c>
      <c r="AI5" s="24">
        <f t="shared" si="4"/>
        <v>207.65670620437959</v>
      </c>
      <c r="AJ5" s="24">
        <f t="shared" si="5"/>
        <v>119.59283759124088</v>
      </c>
      <c r="AK5" s="24">
        <f t="shared" si="6"/>
        <v>207.65670620437959</v>
      </c>
      <c r="AL5" s="24">
        <f t="shared" si="7"/>
        <v>0</v>
      </c>
      <c r="AM5" s="24">
        <f t="shared" si="8"/>
        <v>0</v>
      </c>
      <c r="AN5" s="24">
        <f t="shared" si="9"/>
        <v>0</v>
      </c>
      <c r="AO5" s="24">
        <f t="shared" si="10"/>
        <v>0</v>
      </c>
      <c r="AP5" s="24">
        <f t="shared" si="11"/>
        <v>0</v>
      </c>
      <c r="AQ5" s="24">
        <f t="shared" si="12"/>
        <v>0</v>
      </c>
    </row>
    <row r="6" spans="1:43">
      <c r="A6" t="s">
        <v>59</v>
      </c>
      <c r="B6" t="s">
        <v>707</v>
      </c>
      <c r="C6" t="s">
        <v>708</v>
      </c>
      <c r="D6" s="117">
        <v>0</v>
      </c>
      <c r="E6" s="109">
        <v>388</v>
      </c>
      <c r="F6" s="109">
        <v>164</v>
      </c>
      <c r="G6" s="117">
        <v>0.29710144927536231</v>
      </c>
      <c r="H6" s="109">
        <v>293</v>
      </c>
      <c r="I6" s="109">
        <v>297</v>
      </c>
      <c r="J6" s="117">
        <v>0.58464566929133854</v>
      </c>
      <c r="K6" s="117">
        <v>-0.11544277074061393</v>
      </c>
      <c r="L6" s="109">
        <v>527</v>
      </c>
      <c r="M6" s="109">
        <v>527</v>
      </c>
      <c r="N6" s="109">
        <v>508</v>
      </c>
      <c r="O6" s="109">
        <v>196</v>
      </c>
      <c r="P6" s="109">
        <v>166</v>
      </c>
      <c r="Q6" s="109">
        <v>146</v>
      </c>
      <c r="R6" s="109">
        <v>15</v>
      </c>
      <c r="S6" s="109">
        <v>5</v>
      </c>
      <c r="T6" s="109">
        <v>4</v>
      </c>
      <c r="U6" s="109">
        <v>6</v>
      </c>
      <c r="V6" s="109">
        <v>4</v>
      </c>
      <c r="W6" s="109">
        <v>0</v>
      </c>
      <c r="Y6" s="24">
        <f>(S6+T6)*'space heating'!$C$20</f>
        <v>2.25</v>
      </c>
      <c r="Z6" s="24">
        <f t="shared" si="0"/>
        <v>114.59055118110236</v>
      </c>
      <c r="AA6" s="24">
        <f t="shared" si="1"/>
        <v>97.051181102362193</v>
      </c>
      <c r="AB6" s="24">
        <f t="shared" si="2"/>
        <v>85.358267716535423</v>
      </c>
      <c r="AC6" s="24">
        <f>(Z6+AA6)*'space heating'!$C$22</f>
        <v>211.64173228346453</v>
      </c>
      <c r="AD6" s="24">
        <f>AB6*'space heating'!$C$23</f>
        <v>85.358267716535423</v>
      </c>
      <c r="AE6" s="24">
        <f>(O6+P6-Z6-AA6)*'space heating'!$C$24</f>
        <v>56.384350393700799</v>
      </c>
      <c r="AF6" s="24">
        <f>(O6+P6-Z6-AA6)*'space heating'!$C$25</f>
        <v>56.384350393700799</v>
      </c>
      <c r="AG6" s="24">
        <f>(Q6-AB6)*'space heating'!$C$26</f>
        <v>30.320866141732289</v>
      </c>
      <c r="AH6" s="24">
        <f t="shared" si="3"/>
        <v>268.02608267716533</v>
      </c>
      <c r="AI6" s="24">
        <f t="shared" si="4"/>
        <v>174.3134842519685</v>
      </c>
      <c r="AJ6" s="24">
        <f t="shared" si="5"/>
        <v>268.02608267716533</v>
      </c>
      <c r="AK6" s="24">
        <f t="shared" si="6"/>
        <v>174.3134842519685</v>
      </c>
      <c r="AL6" s="24">
        <f t="shared" si="7"/>
        <v>0</v>
      </c>
      <c r="AM6" s="24">
        <f t="shared" si="8"/>
        <v>0</v>
      </c>
      <c r="AN6" s="24">
        <f t="shared" si="9"/>
        <v>0</v>
      </c>
      <c r="AO6" s="24">
        <f t="shared" si="10"/>
        <v>0</v>
      </c>
      <c r="AP6" s="24">
        <f t="shared" si="11"/>
        <v>0</v>
      </c>
      <c r="AQ6" s="24">
        <f t="shared" si="12"/>
        <v>0</v>
      </c>
    </row>
    <row r="7" spans="1:43">
      <c r="A7" t="s">
        <v>59</v>
      </c>
      <c r="B7" t="s">
        <v>709</v>
      </c>
      <c r="C7" t="s">
        <v>710</v>
      </c>
      <c r="D7" s="117">
        <v>0.61250000000000004</v>
      </c>
      <c r="E7" s="109">
        <v>362</v>
      </c>
      <c r="F7" s="109">
        <v>140</v>
      </c>
      <c r="G7" s="117">
        <v>0.2788844621513944</v>
      </c>
      <c r="H7" s="109" t="e">
        <v>#N/A</v>
      </c>
      <c r="I7" s="109">
        <v>493</v>
      </c>
      <c r="J7" s="117">
        <v>0.98011928429423456</v>
      </c>
      <c r="K7" s="117" t="e">
        <v>#N/A</v>
      </c>
      <c r="L7" s="109">
        <v>483</v>
      </c>
      <c r="M7" s="109">
        <v>483</v>
      </c>
      <c r="N7" s="109">
        <v>470</v>
      </c>
      <c r="O7" s="109">
        <v>253</v>
      </c>
      <c r="P7" s="109">
        <v>148</v>
      </c>
      <c r="Q7" s="109">
        <v>69</v>
      </c>
      <c r="R7" s="109">
        <v>11</v>
      </c>
      <c r="S7" s="109">
        <v>4</v>
      </c>
      <c r="T7" s="109">
        <v>4</v>
      </c>
      <c r="U7" s="109">
        <v>3</v>
      </c>
      <c r="V7" s="109">
        <v>2</v>
      </c>
      <c r="W7" s="109">
        <v>0</v>
      </c>
      <c r="Y7" s="24">
        <f>(S7+T7)*'space heating'!$C$20</f>
        <v>2</v>
      </c>
      <c r="Z7" s="24">
        <f t="shared" si="0"/>
        <v>247.97017892644135</v>
      </c>
      <c r="AA7" s="24">
        <f t="shared" si="1"/>
        <v>145.05765407554671</v>
      </c>
      <c r="AB7" s="24">
        <f t="shared" si="2"/>
        <v>67.62823061630219</v>
      </c>
      <c r="AC7" s="24">
        <f>(Z7+AA7)*'space heating'!$C$22</f>
        <v>393.02783300198803</v>
      </c>
      <c r="AD7" s="24">
        <f>AB7*'space heating'!$C$23</f>
        <v>67.62823061630219</v>
      </c>
      <c r="AE7" s="24">
        <f>(O7+P7-Z7-AA7)*'space heating'!$C$24</f>
        <v>2.9895626242544786</v>
      </c>
      <c r="AF7" s="24">
        <f>(O7+P7-Z7-AA7)*'space heating'!$C$25</f>
        <v>2.9895626242544786</v>
      </c>
      <c r="AG7" s="24">
        <f>(Q7-AB7)*'space heating'!$C$26</f>
        <v>0.68588469184890499</v>
      </c>
      <c r="AH7" s="24">
        <f t="shared" si="3"/>
        <v>396.01739562624249</v>
      </c>
      <c r="AI7" s="24">
        <f t="shared" si="4"/>
        <v>73.303677932405577</v>
      </c>
      <c r="AJ7" s="24">
        <f t="shared" si="5"/>
        <v>396.01739562624249</v>
      </c>
      <c r="AK7" s="24">
        <f t="shared" si="6"/>
        <v>73.303677932405577</v>
      </c>
      <c r="AL7" s="24">
        <f t="shared" si="7"/>
        <v>0</v>
      </c>
      <c r="AM7" s="24">
        <f t="shared" si="8"/>
        <v>0</v>
      </c>
      <c r="AN7" s="24">
        <f t="shared" si="9"/>
        <v>242.56065482107354</v>
      </c>
      <c r="AO7" s="24">
        <f t="shared" si="10"/>
        <v>44.89850273359842</v>
      </c>
      <c r="AP7" s="24">
        <f t="shared" si="11"/>
        <v>0</v>
      </c>
      <c r="AQ7" s="24">
        <f t="shared" si="12"/>
        <v>0</v>
      </c>
    </row>
    <row r="8" spans="1:43">
      <c r="A8" t="s">
        <v>59</v>
      </c>
      <c r="B8" t="s">
        <v>711</v>
      </c>
      <c r="C8" t="s">
        <v>712</v>
      </c>
      <c r="D8" s="117">
        <v>0.48571428571428571</v>
      </c>
      <c r="E8" s="109">
        <v>721</v>
      </c>
      <c r="F8" s="109">
        <v>239</v>
      </c>
      <c r="G8" s="117">
        <v>0.24895833333333334</v>
      </c>
      <c r="H8" s="109" t="e">
        <v>#N/A</v>
      </c>
      <c r="I8" s="109">
        <v>756</v>
      </c>
      <c r="J8" s="117">
        <v>0.8620296465222349</v>
      </c>
      <c r="K8" s="117" t="e">
        <v>#N/A</v>
      </c>
      <c r="L8" s="109">
        <v>941</v>
      </c>
      <c r="M8" s="109">
        <v>941</v>
      </c>
      <c r="N8" s="109">
        <v>881</v>
      </c>
      <c r="O8" s="109">
        <v>479</v>
      </c>
      <c r="P8" s="109">
        <v>284</v>
      </c>
      <c r="Q8" s="109">
        <v>118</v>
      </c>
      <c r="R8" s="109">
        <v>41</v>
      </c>
      <c r="S8" s="109">
        <v>8</v>
      </c>
      <c r="T8" s="109">
        <v>28</v>
      </c>
      <c r="U8" s="109">
        <v>5</v>
      </c>
      <c r="V8" s="109">
        <v>19</v>
      </c>
      <c r="W8" s="109">
        <v>0</v>
      </c>
      <c r="Y8" s="24">
        <f>(S8+T8)*'space heating'!$C$20</f>
        <v>9</v>
      </c>
      <c r="Z8" s="24">
        <f t="shared" si="0"/>
        <v>412.91220068415049</v>
      </c>
      <c r="AA8" s="24">
        <f t="shared" si="1"/>
        <v>244.81641961231472</v>
      </c>
      <c r="AB8" s="24">
        <f t="shared" si="2"/>
        <v>101.71949828962371</v>
      </c>
      <c r="AC8" s="24">
        <f>(Z8+AA8)*'space heating'!$C$22</f>
        <v>657.72862029646524</v>
      </c>
      <c r="AD8" s="24">
        <f>AB8*'space heating'!$C$23</f>
        <v>101.71949828962371</v>
      </c>
      <c r="AE8" s="24">
        <f>(O8+P8-Z8-AA8)*'space heating'!$C$24</f>
        <v>39.47676738882555</v>
      </c>
      <c r="AF8" s="24">
        <f>(O8+P8-Z8-AA8)*'space heating'!$C$25</f>
        <v>39.47676738882555</v>
      </c>
      <c r="AG8" s="24">
        <f>(Q8-AB8)*'space heating'!$C$26</f>
        <v>8.1402508551881425</v>
      </c>
      <c r="AH8" s="24">
        <f t="shared" si="3"/>
        <v>697.20538768529082</v>
      </c>
      <c r="AI8" s="24">
        <f t="shared" si="4"/>
        <v>158.33651653363739</v>
      </c>
      <c r="AJ8" s="24">
        <f t="shared" si="5"/>
        <v>697.20538768529082</v>
      </c>
      <c r="AK8" s="24">
        <f t="shared" si="6"/>
        <v>158.33651653363739</v>
      </c>
      <c r="AL8" s="24">
        <f t="shared" si="7"/>
        <v>0</v>
      </c>
      <c r="AM8" s="24">
        <f t="shared" si="8"/>
        <v>0</v>
      </c>
      <c r="AN8" s="24">
        <f t="shared" si="9"/>
        <v>338.64261687571269</v>
      </c>
      <c r="AO8" s="24">
        <f t="shared" si="10"/>
        <v>76.906308030623876</v>
      </c>
      <c r="AP8" s="24">
        <f t="shared" si="11"/>
        <v>0</v>
      </c>
      <c r="AQ8" s="24">
        <f t="shared" si="12"/>
        <v>0</v>
      </c>
    </row>
    <row r="9" spans="1:43">
      <c r="A9" t="s">
        <v>59</v>
      </c>
      <c r="B9" t="s">
        <v>713</v>
      </c>
      <c r="C9" t="s">
        <v>714</v>
      </c>
      <c r="D9" s="117">
        <v>0.49019607843137253</v>
      </c>
      <c r="E9" s="109">
        <v>635</v>
      </c>
      <c r="F9" s="109">
        <v>152</v>
      </c>
      <c r="G9" s="117">
        <v>0.19313850063532401</v>
      </c>
      <c r="H9" s="109">
        <v>438</v>
      </c>
      <c r="I9" s="109">
        <v>230</v>
      </c>
      <c r="J9" s="117">
        <v>0.30625832223701732</v>
      </c>
      <c r="K9" s="117">
        <v>0.13719784040593053</v>
      </c>
      <c r="L9" s="109">
        <v>754</v>
      </c>
      <c r="M9" s="109">
        <v>754</v>
      </c>
      <c r="N9" s="109">
        <v>689</v>
      </c>
      <c r="O9" s="109">
        <v>307</v>
      </c>
      <c r="P9" s="109">
        <v>198</v>
      </c>
      <c r="Q9" s="109">
        <v>184</v>
      </c>
      <c r="R9" s="109">
        <v>23</v>
      </c>
      <c r="S9" s="109">
        <v>5</v>
      </c>
      <c r="T9" s="109">
        <v>16</v>
      </c>
      <c r="U9" s="109">
        <v>2</v>
      </c>
      <c r="V9" s="109">
        <v>42</v>
      </c>
      <c r="W9" s="109">
        <v>0</v>
      </c>
      <c r="Y9" s="24">
        <f>(S9+T9)*'space heating'!$C$20</f>
        <v>5.25</v>
      </c>
      <c r="Z9" s="24">
        <f t="shared" si="0"/>
        <v>94.021304926764316</v>
      </c>
      <c r="AA9" s="24">
        <f t="shared" si="1"/>
        <v>60.639147802929429</v>
      </c>
      <c r="AB9" s="24">
        <f t="shared" si="2"/>
        <v>56.351531291611188</v>
      </c>
      <c r="AC9" s="24">
        <f>(Z9+AA9)*'space heating'!$C$22</f>
        <v>154.66045272969376</v>
      </c>
      <c r="AD9" s="24">
        <f>AB9*'space heating'!$C$23</f>
        <v>56.351531291611188</v>
      </c>
      <c r="AE9" s="24">
        <f>(O9+P9-Z9-AA9)*'space heating'!$C$24</f>
        <v>131.37733022636485</v>
      </c>
      <c r="AF9" s="24">
        <f>(O9+P9-Z9-AA9)*'space heating'!$C$25</f>
        <v>131.37733022636485</v>
      </c>
      <c r="AG9" s="24">
        <f>(Q9-AB9)*'space heating'!$C$26</f>
        <v>63.824234354194402</v>
      </c>
      <c r="AH9" s="24">
        <f t="shared" si="3"/>
        <v>286.03778295605861</v>
      </c>
      <c r="AI9" s="24">
        <f t="shared" si="4"/>
        <v>256.80309587217045</v>
      </c>
      <c r="AJ9" s="24">
        <f t="shared" si="5"/>
        <v>286.03778295605861</v>
      </c>
      <c r="AK9" s="24">
        <f t="shared" si="6"/>
        <v>256.80309587217045</v>
      </c>
      <c r="AL9" s="24">
        <f t="shared" si="7"/>
        <v>0</v>
      </c>
      <c r="AM9" s="24">
        <f t="shared" si="8"/>
        <v>0</v>
      </c>
      <c r="AN9" s="24">
        <f t="shared" si="9"/>
        <v>140.21459948826401</v>
      </c>
      <c r="AO9" s="24">
        <f t="shared" si="10"/>
        <v>125.88387052557374</v>
      </c>
      <c r="AP9" s="24">
        <f t="shared" si="11"/>
        <v>0</v>
      </c>
      <c r="AQ9" s="24">
        <f t="shared" si="12"/>
        <v>0</v>
      </c>
    </row>
    <row r="10" spans="1:43">
      <c r="A10" t="s">
        <v>59</v>
      </c>
      <c r="B10" t="s">
        <v>715</v>
      </c>
      <c r="C10" t="s">
        <v>716</v>
      </c>
      <c r="D10" s="117">
        <v>0.89230769230769236</v>
      </c>
      <c r="E10" s="109">
        <v>423</v>
      </c>
      <c r="F10" s="109">
        <v>135</v>
      </c>
      <c r="G10" s="117">
        <v>0.24193548387096775</v>
      </c>
      <c r="H10" s="109">
        <v>340</v>
      </c>
      <c r="I10" s="109">
        <v>154</v>
      </c>
      <c r="J10" s="117">
        <v>0.29902912621359223</v>
      </c>
      <c r="K10" s="117">
        <v>9.165187737063718E-2</v>
      </c>
      <c r="L10" s="109">
        <v>505</v>
      </c>
      <c r="M10" s="109">
        <v>505</v>
      </c>
      <c r="N10" s="109">
        <v>460</v>
      </c>
      <c r="O10" s="109">
        <v>176</v>
      </c>
      <c r="P10" s="109">
        <v>101</v>
      </c>
      <c r="Q10" s="109">
        <v>183</v>
      </c>
      <c r="R10" s="109">
        <v>40</v>
      </c>
      <c r="S10" s="109">
        <v>18</v>
      </c>
      <c r="T10" s="109">
        <v>15</v>
      </c>
      <c r="U10" s="109">
        <v>7</v>
      </c>
      <c r="V10" s="109">
        <v>5</v>
      </c>
      <c r="W10" s="109">
        <v>0</v>
      </c>
      <c r="Y10" s="24">
        <f>(S10+T10)*'space heating'!$C$20</f>
        <v>8.25</v>
      </c>
      <c r="Z10" s="24">
        <f t="shared" si="0"/>
        <v>52.62912621359223</v>
      </c>
      <c r="AA10" s="24">
        <f t="shared" si="1"/>
        <v>30.201941747572814</v>
      </c>
      <c r="AB10" s="24">
        <f t="shared" si="2"/>
        <v>54.722330097087379</v>
      </c>
      <c r="AC10" s="24">
        <f>(Z10+AA10)*'space heating'!$C$22</f>
        <v>82.831067961165047</v>
      </c>
      <c r="AD10" s="24">
        <f>AB10*'space heating'!$C$23</f>
        <v>54.722330097087379</v>
      </c>
      <c r="AE10" s="24">
        <f>(O10+P10-Z10-AA10)*'space heating'!$C$24</f>
        <v>72.8133495145631</v>
      </c>
      <c r="AF10" s="24">
        <f>(O10+P10-Z10-AA10)*'space heating'!$C$25</f>
        <v>72.8133495145631</v>
      </c>
      <c r="AG10" s="24">
        <f>(Q10-AB10)*'space heating'!$C$26</f>
        <v>64.138834951456317</v>
      </c>
      <c r="AH10" s="24">
        <f t="shared" si="3"/>
        <v>155.64441747572815</v>
      </c>
      <c r="AI10" s="24">
        <f t="shared" si="4"/>
        <v>199.92451456310681</v>
      </c>
      <c r="AJ10" s="24">
        <f t="shared" si="5"/>
        <v>155.64441747572815</v>
      </c>
      <c r="AK10" s="24">
        <f t="shared" si="6"/>
        <v>199.92451456310681</v>
      </c>
      <c r="AL10" s="24">
        <f t="shared" si="7"/>
        <v>0</v>
      </c>
      <c r="AM10" s="24">
        <f t="shared" si="8"/>
        <v>0</v>
      </c>
      <c r="AN10" s="24">
        <f t="shared" si="9"/>
        <v>138.88271097834206</v>
      </c>
      <c r="AO10" s="24">
        <f t="shared" si="10"/>
        <v>178.39418222554147</v>
      </c>
      <c r="AP10" s="24">
        <f t="shared" si="11"/>
        <v>0</v>
      </c>
      <c r="AQ10" s="24">
        <f t="shared" si="12"/>
        <v>0</v>
      </c>
    </row>
    <row r="11" spans="1:43">
      <c r="A11" t="s">
        <v>59</v>
      </c>
      <c r="B11" t="s">
        <v>717</v>
      </c>
      <c r="C11" t="s">
        <v>718</v>
      </c>
      <c r="D11" s="117">
        <v>1</v>
      </c>
      <c r="E11" s="109">
        <v>504</v>
      </c>
      <c r="F11" s="109">
        <v>128</v>
      </c>
      <c r="G11" s="117">
        <v>0.20253164556962025</v>
      </c>
      <c r="H11" s="109">
        <v>506</v>
      </c>
      <c r="I11" s="109">
        <v>40</v>
      </c>
      <c r="J11" s="117">
        <v>6.5681444991789822E-2</v>
      </c>
      <c r="K11" s="117">
        <v>0.13368564361580507</v>
      </c>
      <c r="L11" s="109">
        <v>602</v>
      </c>
      <c r="M11" s="109">
        <v>602</v>
      </c>
      <c r="N11" s="109">
        <v>563</v>
      </c>
      <c r="O11" s="109">
        <v>172</v>
      </c>
      <c r="P11" s="109">
        <v>224</v>
      </c>
      <c r="Q11" s="109">
        <v>167</v>
      </c>
      <c r="R11" s="109">
        <v>39</v>
      </c>
      <c r="S11" s="109">
        <v>34</v>
      </c>
      <c r="T11" s="109">
        <v>5</v>
      </c>
      <c r="U11" s="109">
        <v>0</v>
      </c>
      <c r="V11" s="109">
        <v>0</v>
      </c>
      <c r="W11" s="109">
        <v>0</v>
      </c>
      <c r="Y11" s="24">
        <f>(S11+T11)*'space heating'!$C$20</f>
        <v>9.75</v>
      </c>
      <c r="Z11" s="24">
        <f t="shared" si="0"/>
        <v>11.297208538587849</v>
      </c>
      <c r="AA11" s="24">
        <f t="shared" si="1"/>
        <v>14.712643678160919</v>
      </c>
      <c r="AB11" s="24">
        <f t="shared" si="2"/>
        <v>10.9688013136289</v>
      </c>
      <c r="AC11" s="24">
        <f>(Z11+AA11)*'space heating'!$C$22</f>
        <v>26.009852216748769</v>
      </c>
      <c r="AD11" s="24">
        <f>AB11*'space heating'!$C$23</f>
        <v>10.9688013136289</v>
      </c>
      <c r="AE11" s="24">
        <f>(O11+P11-Z11-AA11)*'space heating'!$C$24</f>
        <v>138.7463054187192</v>
      </c>
      <c r="AF11" s="24">
        <f>(O11+P11-Z11-AA11)*'space heating'!$C$25</f>
        <v>138.7463054187192</v>
      </c>
      <c r="AG11" s="24">
        <f>(Q11-AB11)*'space heating'!$C$26</f>
        <v>78.015599343185556</v>
      </c>
      <c r="AH11" s="24">
        <f t="shared" si="3"/>
        <v>164.75615763546796</v>
      </c>
      <c r="AI11" s="24">
        <f t="shared" si="4"/>
        <v>237.48070607553365</v>
      </c>
      <c r="AJ11" s="24">
        <f t="shared" si="5"/>
        <v>164.75615763546796</v>
      </c>
      <c r="AK11" s="24">
        <f t="shared" si="6"/>
        <v>237.48070607553365</v>
      </c>
      <c r="AL11" s="24">
        <f t="shared" si="7"/>
        <v>0</v>
      </c>
      <c r="AM11" s="24">
        <f t="shared" si="8"/>
        <v>0</v>
      </c>
      <c r="AN11" s="24">
        <f t="shared" si="9"/>
        <v>164.75615763546796</v>
      </c>
      <c r="AO11" s="24">
        <f t="shared" si="10"/>
        <v>237.48070607553365</v>
      </c>
      <c r="AP11" s="24">
        <f t="shared" si="11"/>
        <v>0</v>
      </c>
      <c r="AQ11" s="24">
        <f t="shared" si="12"/>
        <v>0</v>
      </c>
    </row>
    <row r="12" spans="1:43">
      <c r="A12" t="s">
        <v>59</v>
      </c>
      <c r="B12" t="s">
        <v>719</v>
      </c>
      <c r="C12" t="s">
        <v>720</v>
      </c>
      <c r="D12" s="117">
        <v>0</v>
      </c>
      <c r="E12" s="109">
        <v>777</v>
      </c>
      <c r="F12" s="109">
        <v>179</v>
      </c>
      <c r="G12" s="117">
        <v>0.18723849372384938</v>
      </c>
      <c r="H12" s="109">
        <v>845</v>
      </c>
      <c r="I12" s="109">
        <v>35</v>
      </c>
      <c r="J12" s="117">
        <v>3.787878787878788E-2</v>
      </c>
      <c r="K12" s="117">
        <v>7.8229998732090772E-2</v>
      </c>
      <c r="L12" s="109">
        <v>834</v>
      </c>
      <c r="M12" s="109">
        <v>834</v>
      </c>
      <c r="N12" s="109">
        <v>655</v>
      </c>
      <c r="O12" s="109">
        <v>111</v>
      </c>
      <c r="P12" s="109">
        <v>243</v>
      </c>
      <c r="Q12" s="109">
        <v>301</v>
      </c>
      <c r="R12" s="109">
        <v>178</v>
      </c>
      <c r="S12" s="109">
        <v>134</v>
      </c>
      <c r="T12" s="109">
        <v>39</v>
      </c>
      <c r="U12" s="109">
        <v>5</v>
      </c>
      <c r="V12" s="109">
        <v>1</v>
      </c>
      <c r="W12" s="109">
        <v>0</v>
      </c>
      <c r="Y12" s="24">
        <f>(S12+T12)*'space heating'!$C$20</f>
        <v>43.25</v>
      </c>
      <c r="Z12" s="24">
        <f t="shared" si="0"/>
        <v>4.204545454545455</v>
      </c>
      <c r="AA12" s="24">
        <f t="shared" si="1"/>
        <v>9.204545454545455</v>
      </c>
      <c r="AB12" s="24">
        <f t="shared" si="2"/>
        <v>11.401515151515152</v>
      </c>
      <c r="AC12" s="24">
        <f>(Z12+AA12)*'space heating'!$C$22</f>
        <v>13.40909090909091</v>
      </c>
      <c r="AD12" s="24">
        <f>AB12*'space heating'!$C$23</f>
        <v>11.401515151515152</v>
      </c>
      <c r="AE12" s="24">
        <f>(O12+P12-Z12-AA12)*'space heating'!$C$24</f>
        <v>127.72159090909092</v>
      </c>
      <c r="AF12" s="24">
        <f>(O12+P12-Z12-AA12)*'space heating'!$C$25</f>
        <v>127.72159090909092</v>
      </c>
      <c r="AG12" s="24">
        <f>(Q12-AB12)*'space heating'!$C$26</f>
        <v>144.79924242424244</v>
      </c>
      <c r="AH12" s="24">
        <f t="shared" si="3"/>
        <v>141.13068181818184</v>
      </c>
      <c r="AI12" s="24">
        <f t="shared" si="4"/>
        <v>327.1723484848485</v>
      </c>
      <c r="AJ12" s="24">
        <f t="shared" si="5"/>
        <v>141.13068181818184</v>
      </c>
      <c r="AK12" s="24">
        <f t="shared" si="6"/>
        <v>327.1723484848485</v>
      </c>
      <c r="AL12" s="24">
        <f t="shared" si="7"/>
        <v>0</v>
      </c>
      <c r="AM12" s="24">
        <f t="shared" si="8"/>
        <v>0</v>
      </c>
      <c r="AN12" s="24">
        <f t="shared" si="9"/>
        <v>0</v>
      </c>
      <c r="AO12" s="24">
        <f t="shared" si="10"/>
        <v>0</v>
      </c>
      <c r="AP12" s="24">
        <f t="shared" si="11"/>
        <v>0</v>
      </c>
      <c r="AQ12" s="24">
        <f t="shared" si="12"/>
        <v>0</v>
      </c>
    </row>
    <row r="13" spans="1:43">
      <c r="A13" t="s">
        <v>59</v>
      </c>
      <c r="B13" t="s">
        <v>721</v>
      </c>
      <c r="C13" t="s">
        <v>722</v>
      </c>
      <c r="D13" s="117">
        <v>0</v>
      </c>
      <c r="E13" s="109">
        <v>738</v>
      </c>
      <c r="F13" s="109">
        <v>85</v>
      </c>
      <c r="G13" s="117">
        <v>0.10328068043742406</v>
      </c>
      <c r="H13" s="109">
        <v>730</v>
      </c>
      <c r="I13" s="109">
        <v>0</v>
      </c>
      <c r="J13" s="117">
        <v>0</v>
      </c>
      <c r="K13" s="117">
        <v>0.1130012150668287</v>
      </c>
      <c r="L13" s="109">
        <v>778</v>
      </c>
      <c r="M13" s="109">
        <v>778</v>
      </c>
      <c r="N13" s="109">
        <v>733</v>
      </c>
      <c r="O13" s="109">
        <v>210</v>
      </c>
      <c r="P13" s="109">
        <v>391</v>
      </c>
      <c r="Q13" s="109">
        <v>132</v>
      </c>
      <c r="R13" s="109">
        <v>45</v>
      </c>
      <c r="S13" s="109">
        <v>31</v>
      </c>
      <c r="T13" s="109">
        <v>11</v>
      </c>
      <c r="U13" s="109">
        <v>3</v>
      </c>
      <c r="V13" s="109">
        <v>0</v>
      </c>
      <c r="W13" s="109">
        <v>0</v>
      </c>
      <c r="Y13" s="24">
        <f>(S13+T13)*'space heating'!$C$20</f>
        <v>10.5</v>
      </c>
      <c r="Z13" s="24">
        <f t="shared" si="0"/>
        <v>0</v>
      </c>
      <c r="AA13" s="24">
        <f t="shared" si="1"/>
        <v>0</v>
      </c>
      <c r="AB13" s="24">
        <f t="shared" si="2"/>
        <v>0</v>
      </c>
      <c r="AC13" s="24">
        <f>(Z13+AA13)*'space heating'!$C$22</f>
        <v>0</v>
      </c>
      <c r="AD13" s="24">
        <f>AB13*'space heating'!$C$23</f>
        <v>0</v>
      </c>
      <c r="AE13" s="24">
        <f>(O13+P13-Z13-AA13)*'space heating'!$C$24</f>
        <v>225.375</v>
      </c>
      <c r="AF13" s="24">
        <f>(O13+P13-Z13-AA13)*'space heating'!$C$25</f>
        <v>225.375</v>
      </c>
      <c r="AG13" s="24">
        <f>(Q13-AB13)*'space heating'!$C$26</f>
        <v>66</v>
      </c>
      <c r="AH13" s="24">
        <f t="shared" si="3"/>
        <v>225.375</v>
      </c>
      <c r="AI13" s="24">
        <f t="shared" si="4"/>
        <v>301.875</v>
      </c>
      <c r="AJ13" s="24">
        <f t="shared" si="5"/>
        <v>225.375</v>
      </c>
      <c r="AK13" s="24">
        <f t="shared" si="6"/>
        <v>301.875</v>
      </c>
      <c r="AL13" s="24">
        <f t="shared" si="7"/>
        <v>0</v>
      </c>
      <c r="AM13" s="24">
        <f t="shared" si="8"/>
        <v>0</v>
      </c>
      <c r="AN13" s="24">
        <f t="shared" si="9"/>
        <v>0</v>
      </c>
      <c r="AO13" s="24">
        <f t="shared" si="10"/>
        <v>0</v>
      </c>
      <c r="AP13" s="24">
        <f t="shared" si="11"/>
        <v>0</v>
      </c>
      <c r="AQ13" s="24">
        <f t="shared" si="12"/>
        <v>0</v>
      </c>
    </row>
    <row r="14" spans="1:43">
      <c r="A14" t="s">
        <v>59</v>
      </c>
      <c r="B14" t="s">
        <v>723</v>
      </c>
      <c r="C14" t="s">
        <v>724</v>
      </c>
      <c r="D14" s="117">
        <v>0</v>
      </c>
      <c r="E14" s="109">
        <v>394</v>
      </c>
      <c r="F14" s="109">
        <v>253</v>
      </c>
      <c r="G14" s="117">
        <v>0.39103554868624418</v>
      </c>
      <c r="H14" s="109">
        <v>389</v>
      </c>
      <c r="I14" s="109">
        <v>170</v>
      </c>
      <c r="J14" s="117">
        <v>0.26604068857589985</v>
      </c>
      <c r="K14" s="117">
        <v>0.13272283538082347</v>
      </c>
      <c r="L14" s="109">
        <v>624</v>
      </c>
      <c r="M14" s="109">
        <v>624</v>
      </c>
      <c r="N14" s="109">
        <v>609</v>
      </c>
      <c r="O14" s="109">
        <v>95</v>
      </c>
      <c r="P14" s="109">
        <v>334</v>
      </c>
      <c r="Q14" s="109">
        <v>180</v>
      </c>
      <c r="R14" s="109">
        <v>15</v>
      </c>
      <c r="S14" s="109">
        <v>12</v>
      </c>
      <c r="T14" s="109">
        <v>3</v>
      </c>
      <c r="U14" s="109">
        <v>0</v>
      </c>
      <c r="V14" s="109">
        <v>0</v>
      </c>
      <c r="W14" s="109">
        <v>0</v>
      </c>
      <c r="Y14" s="24">
        <f>(S14+T14)*'space heating'!$C$20</f>
        <v>3.75</v>
      </c>
      <c r="Z14" s="24">
        <f t="shared" si="0"/>
        <v>25.273865414710485</v>
      </c>
      <c r="AA14" s="24">
        <f t="shared" si="1"/>
        <v>88.857589984350554</v>
      </c>
      <c r="AB14" s="24">
        <f t="shared" si="2"/>
        <v>47.887323943661976</v>
      </c>
      <c r="AC14" s="24">
        <f>(Z14+AA14)*'space heating'!$C$22</f>
        <v>114.13145539906104</v>
      </c>
      <c r="AD14" s="24">
        <f>AB14*'space heating'!$C$23</f>
        <v>47.887323943661976</v>
      </c>
      <c r="AE14" s="24">
        <f>(O14+P14-Z14-AA14)*'space heating'!$C$24</f>
        <v>118.0757042253521</v>
      </c>
      <c r="AF14" s="24">
        <f>(O14+P14-Z14-AA14)*'space heating'!$C$25</f>
        <v>118.0757042253521</v>
      </c>
      <c r="AG14" s="24">
        <f>(Q14-AB14)*'space heating'!$C$26</f>
        <v>66.056338028169009</v>
      </c>
      <c r="AH14" s="24">
        <f t="shared" si="3"/>
        <v>232.20715962441312</v>
      </c>
      <c r="AI14" s="24">
        <f t="shared" si="4"/>
        <v>235.7693661971831</v>
      </c>
      <c r="AJ14" s="24">
        <f t="shared" si="5"/>
        <v>232.20715962441312</v>
      </c>
      <c r="AK14" s="24">
        <f t="shared" si="6"/>
        <v>235.7693661971831</v>
      </c>
      <c r="AL14" s="24">
        <f t="shared" si="7"/>
        <v>0</v>
      </c>
      <c r="AM14" s="24">
        <f t="shared" si="8"/>
        <v>0</v>
      </c>
      <c r="AN14" s="24">
        <f t="shared" si="9"/>
        <v>0</v>
      </c>
      <c r="AO14" s="24">
        <f t="shared" si="10"/>
        <v>0</v>
      </c>
      <c r="AP14" s="24">
        <f t="shared" si="11"/>
        <v>0</v>
      </c>
      <c r="AQ14" s="24">
        <f t="shared" si="12"/>
        <v>0</v>
      </c>
    </row>
    <row r="15" spans="1:43">
      <c r="A15" t="s">
        <v>59</v>
      </c>
      <c r="B15" t="s">
        <v>725</v>
      </c>
      <c r="C15" t="s">
        <v>726</v>
      </c>
      <c r="D15" s="117">
        <v>0</v>
      </c>
      <c r="E15" s="109">
        <v>602</v>
      </c>
      <c r="F15" s="109">
        <v>328</v>
      </c>
      <c r="G15" s="117">
        <v>0.35268817204301073</v>
      </c>
      <c r="H15" s="109">
        <v>670</v>
      </c>
      <c r="I15" s="109">
        <v>80</v>
      </c>
      <c r="J15" s="117">
        <v>8.7431693989071038E-2</v>
      </c>
      <c r="K15" s="117">
        <v>0.19213819848404723</v>
      </c>
      <c r="L15" s="109">
        <v>766</v>
      </c>
      <c r="M15" s="109">
        <v>764</v>
      </c>
      <c r="N15" s="109">
        <v>402</v>
      </c>
      <c r="O15" s="109">
        <v>66</v>
      </c>
      <c r="P15" s="109">
        <v>126</v>
      </c>
      <c r="Q15" s="109">
        <v>210</v>
      </c>
      <c r="R15" s="109">
        <v>361</v>
      </c>
      <c r="S15" s="109">
        <v>197</v>
      </c>
      <c r="T15" s="109">
        <v>91</v>
      </c>
      <c r="U15" s="109">
        <v>73</v>
      </c>
      <c r="V15" s="109">
        <v>1</v>
      </c>
      <c r="W15" s="109">
        <v>2</v>
      </c>
      <c r="Y15" s="24">
        <f>(S15+T15)*'space heating'!$C$20</f>
        <v>72</v>
      </c>
      <c r="Z15" s="24">
        <f t="shared" si="0"/>
        <v>5.7704918032786887</v>
      </c>
      <c r="AA15" s="24">
        <f t="shared" si="1"/>
        <v>11.016393442622951</v>
      </c>
      <c r="AB15" s="24">
        <f t="shared" si="2"/>
        <v>18.360655737704917</v>
      </c>
      <c r="AC15" s="24">
        <f>(Z15+AA15)*'space heating'!$C$22</f>
        <v>16.78688524590164</v>
      </c>
      <c r="AD15" s="24">
        <f>AB15*'space heating'!$C$23</f>
        <v>18.360655737704917</v>
      </c>
      <c r="AE15" s="24">
        <f>(O15+P15-Z15-AA15)*'space heating'!$C$24</f>
        <v>65.704918032786878</v>
      </c>
      <c r="AF15" s="24">
        <f>(O15+P15-Z15-AA15)*'space heating'!$C$25</f>
        <v>65.704918032786878</v>
      </c>
      <c r="AG15" s="24">
        <f>(Q15-AB15)*'space heating'!$C$26</f>
        <v>95.819672131147541</v>
      </c>
      <c r="AH15" s="24">
        <f t="shared" si="3"/>
        <v>82.491803278688522</v>
      </c>
      <c r="AI15" s="24">
        <f t="shared" si="4"/>
        <v>251.88524590163934</v>
      </c>
      <c r="AJ15" s="24">
        <f t="shared" si="5"/>
        <v>82.491803278688522</v>
      </c>
      <c r="AK15" s="24">
        <f t="shared" si="6"/>
        <v>251.88524590163934</v>
      </c>
      <c r="AL15" s="24">
        <f t="shared" si="7"/>
        <v>0</v>
      </c>
      <c r="AM15" s="24">
        <f t="shared" si="8"/>
        <v>0</v>
      </c>
      <c r="AN15" s="24">
        <f t="shared" si="9"/>
        <v>0</v>
      </c>
      <c r="AO15" s="24">
        <f t="shared" si="10"/>
        <v>0</v>
      </c>
      <c r="AP15" s="24">
        <f t="shared" si="11"/>
        <v>0</v>
      </c>
      <c r="AQ15" s="24">
        <f t="shared" si="12"/>
        <v>0</v>
      </c>
    </row>
    <row r="16" spans="1:43">
      <c r="A16" t="s">
        <v>59</v>
      </c>
      <c r="B16" t="s">
        <v>727</v>
      </c>
      <c r="C16" t="s">
        <v>728</v>
      </c>
      <c r="D16" s="117">
        <v>0</v>
      </c>
      <c r="E16" s="109">
        <v>575</v>
      </c>
      <c r="F16" s="109">
        <v>340</v>
      </c>
      <c r="G16" s="117">
        <v>0.37158469945355194</v>
      </c>
      <c r="H16" s="109">
        <v>527</v>
      </c>
      <c r="I16" s="109">
        <v>153</v>
      </c>
      <c r="J16" s="117">
        <v>0.18411552346570398</v>
      </c>
      <c r="K16" s="117">
        <v>0.23992819238129054</v>
      </c>
      <c r="L16" s="109">
        <v>846</v>
      </c>
      <c r="M16" s="109">
        <v>843</v>
      </c>
      <c r="N16" s="109">
        <v>580</v>
      </c>
      <c r="O16" s="109">
        <v>110</v>
      </c>
      <c r="P16" s="109">
        <v>158</v>
      </c>
      <c r="Q16" s="109">
        <v>312</v>
      </c>
      <c r="R16" s="109">
        <v>261</v>
      </c>
      <c r="S16" s="109">
        <v>205</v>
      </c>
      <c r="T16" s="109">
        <v>43</v>
      </c>
      <c r="U16" s="109">
        <v>13</v>
      </c>
      <c r="V16" s="109">
        <v>2</v>
      </c>
      <c r="W16" s="109">
        <v>3</v>
      </c>
      <c r="Y16" s="24">
        <f>(S16+T16)*'space heating'!$C$20</f>
        <v>62</v>
      </c>
      <c r="Z16" s="24">
        <f t="shared" si="0"/>
        <v>20.252707581227437</v>
      </c>
      <c r="AA16" s="24">
        <f t="shared" si="1"/>
        <v>29.090252707581229</v>
      </c>
      <c r="AB16" s="24">
        <f t="shared" si="2"/>
        <v>57.444043321299638</v>
      </c>
      <c r="AC16" s="24">
        <f>(Z16+AA16)*'space heating'!$C$22</f>
        <v>49.342960288808669</v>
      </c>
      <c r="AD16" s="24">
        <f>AB16*'space heating'!$C$23</f>
        <v>57.444043321299638</v>
      </c>
      <c r="AE16" s="24">
        <f>(O16+P16-Z16-AA16)*'space heating'!$C$24</f>
        <v>81.996389891696737</v>
      </c>
      <c r="AF16" s="24">
        <f>(O16+P16-Z16-AA16)*'space heating'!$C$25</f>
        <v>81.996389891696737</v>
      </c>
      <c r="AG16" s="24">
        <f>(Q16-AB16)*'space heating'!$C$26</f>
        <v>127.27797833935018</v>
      </c>
      <c r="AH16" s="24">
        <f t="shared" si="3"/>
        <v>131.33935018050539</v>
      </c>
      <c r="AI16" s="24">
        <f t="shared" si="4"/>
        <v>328.71841155234654</v>
      </c>
      <c r="AJ16" s="24">
        <f t="shared" si="5"/>
        <v>131.33935018050539</v>
      </c>
      <c r="AK16" s="24">
        <f t="shared" si="6"/>
        <v>328.71841155234654</v>
      </c>
      <c r="AL16" s="24">
        <f t="shared" si="7"/>
        <v>0</v>
      </c>
      <c r="AM16" s="24">
        <f t="shared" si="8"/>
        <v>0</v>
      </c>
      <c r="AN16" s="24">
        <f t="shared" si="9"/>
        <v>0</v>
      </c>
      <c r="AO16" s="24">
        <f t="shared" si="10"/>
        <v>0</v>
      </c>
      <c r="AP16" s="24">
        <f t="shared" si="11"/>
        <v>0</v>
      </c>
      <c r="AQ16" s="24">
        <f t="shared" si="12"/>
        <v>0</v>
      </c>
    </row>
    <row r="17" spans="1:43">
      <c r="A17" t="s">
        <v>59</v>
      </c>
      <c r="B17" t="s">
        <v>729</v>
      </c>
      <c r="C17" t="s">
        <v>730</v>
      </c>
      <c r="D17" s="117">
        <v>0</v>
      </c>
      <c r="E17" s="109">
        <v>504</v>
      </c>
      <c r="F17" s="109">
        <v>406</v>
      </c>
      <c r="G17" s="117">
        <v>0.44615384615384618</v>
      </c>
      <c r="H17" s="109">
        <v>13</v>
      </c>
      <c r="I17" s="109">
        <v>733</v>
      </c>
      <c r="J17" s="117">
        <v>0.91739674593241549</v>
      </c>
      <c r="K17" s="117">
        <v>6.8317539781870273E-2</v>
      </c>
      <c r="L17" s="109">
        <v>615</v>
      </c>
      <c r="M17" s="109">
        <v>615</v>
      </c>
      <c r="N17" s="109">
        <v>506</v>
      </c>
      <c r="O17" s="109">
        <v>277</v>
      </c>
      <c r="P17" s="109">
        <v>132</v>
      </c>
      <c r="Q17" s="109">
        <v>97</v>
      </c>
      <c r="R17" s="109">
        <v>102</v>
      </c>
      <c r="S17" s="109">
        <v>36</v>
      </c>
      <c r="T17" s="109">
        <v>62</v>
      </c>
      <c r="U17" s="109">
        <v>4</v>
      </c>
      <c r="V17" s="109">
        <v>7</v>
      </c>
      <c r="W17" s="109">
        <v>0</v>
      </c>
      <c r="Y17" s="24">
        <f>(S17+T17)*'space heating'!$C$20</f>
        <v>24.5</v>
      </c>
      <c r="Z17" s="24">
        <f t="shared" si="0"/>
        <v>254.11889862327908</v>
      </c>
      <c r="AA17" s="24">
        <f t="shared" si="1"/>
        <v>121.09637046307884</v>
      </c>
      <c r="AB17" s="24">
        <f t="shared" si="2"/>
        <v>88.987484355444309</v>
      </c>
      <c r="AC17" s="24">
        <f>(Z17+AA17)*'space heating'!$C$22</f>
        <v>375.21526908635792</v>
      </c>
      <c r="AD17" s="24">
        <f>AB17*'space heating'!$C$23</f>
        <v>88.987484355444309</v>
      </c>
      <c r="AE17" s="24">
        <f>(O17+P17-Z17-AA17)*'space heating'!$C$24</f>
        <v>12.66927409261578</v>
      </c>
      <c r="AF17" s="24">
        <f>(O17+P17-Z17-AA17)*'space heating'!$C$25</f>
        <v>12.66927409261578</v>
      </c>
      <c r="AG17" s="24">
        <f>(Q17-AB17)*'space heating'!$C$26</f>
        <v>4.0062578222778455</v>
      </c>
      <c r="AH17" s="24">
        <f t="shared" si="3"/>
        <v>387.88454317897367</v>
      </c>
      <c r="AI17" s="24">
        <f t="shared" si="4"/>
        <v>130.16301627033795</v>
      </c>
      <c r="AJ17" s="24">
        <f t="shared" si="5"/>
        <v>387.88454317897367</v>
      </c>
      <c r="AK17" s="24">
        <f t="shared" si="6"/>
        <v>130.16301627033795</v>
      </c>
      <c r="AL17" s="24">
        <f t="shared" si="7"/>
        <v>0</v>
      </c>
      <c r="AM17" s="24">
        <f t="shared" si="8"/>
        <v>0</v>
      </c>
      <c r="AN17" s="24">
        <f t="shared" si="9"/>
        <v>0</v>
      </c>
      <c r="AO17" s="24">
        <f t="shared" si="10"/>
        <v>0</v>
      </c>
      <c r="AP17" s="24">
        <f t="shared" si="11"/>
        <v>0</v>
      </c>
      <c r="AQ17" s="24">
        <f t="shared" si="12"/>
        <v>0</v>
      </c>
    </row>
    <row r="18" spans="1:43">
      <c r="A18" t="s">
        <v>59</v>
      </c>
      <c r="B18" t="s">
        <v>731</v>
      </c>
      <c r="C18" t="s">
        <v>732</v>
      </c>
      <c r="D18" s="117">
        <v>0</v>
      </c>
      <c r="E18" s="109">
        <v>776</v>
      </c>
      <c r="F18" s="109">
        <v>144</v>
      </c>
      <c r="G18" s="117">
        <v>0.15652173913043479</v>
      </c>
      <c r="H18" s="109">
        <v>634</v>
      </c>
      <c r="I18" s="109">
        <v>212</v>
      </c>
      <c r="J18" s="117">
        <v>0.25389221556886227</v>
      </c>
      <c r="K18" s="117">
        <v>5.6977349648529019E-2</v>
      </c>
      <c r="L18" s="109">
        <v>836</v>
      </c>
      <c r="M18" s="109">
        <v>836</v>
      </c>
      <c r="N18" s="109">
        <v>784</v>
      </c>
      <c r="O18" s="109">
        <v>443</v>
      </c>
      <c r="P18" s="109">
        <v>237</v>
      </c>
      <c r="Q18" s="109">
        <v>104</v>
      </c>
      <c r="R18" s="109">
        <v>47</v>
      </c>
      <c r="S18" s="109">
        <v>15</v>
      </c>
      <c r="T18" s="109">
        <v>31</v>
      </c>
      <c r="U18" s="109">
        <v>1</v>
      </c>
      <c r="V18" s="109">
        <v>5</v>
      </c>
      <c r="W18" s="109">
        <v>0</v>
      </c>
      <c r="Y18" s="24">
        <f>(S18+T18)*'space heating'!$C$20</f>
        <v>11.5</v>
      </c>
      <c r="Z18" s="24">
        <f t="shared" si="0"/>
        <v>112.47425149700598</v>
      </c>
      <c r="AA18" s="24">
        <f t="shared" si="1"/>
        <v>60.17245508982036</v>
      </c>
      <c r="AB18" s="24">
        <f t="shared" si="2"/>
        <v>26.404790419161674</v>
      </c>
      <c r="AC18" s="24">
        <f>(Z18+AA18)*'space heating'!$C$22</f>
        <v>172.64670658682633</v>
      </c>
      <c r="AD18" s="24">
        <f>AB18*'space heating'!$C$23</f>
        <v>26.404790419161674</v>
      </c>
      <c r="AE18" s="24">
        <f>(O18+P18-Z18-AA18)*'space heating'!$C$24</f>
        <v>190.25748502994014</v>
      </c>
      <c r="AF18" s="24">
        <f>(O18+P18-Z18-AA18)*'space heating'!$C$25</f>
        <v>190.25748502994014</v>
      </c>
      <c r="AG18" s="24">
        <f>(Q18-AB18)*'space heating'!$C$26</f>
        <v>38.797604790419165</v>
      </c>
      <c r="AH18" s="24">
        <f t="shared" si="3"/>
        <v>362.90419161676647</v>
      </c>
      <c r="AI18" s="24">
        <f t="shared" si="4"/>
        <v>266.95988023952094</v>
      </c>
      <c r="AJ18" s="24">
        <f t="shared" si="5"/>
        <v>362.90419161676647</v>
      </c>
      <c r="AK18" s="24">
        <f t="shared" si="6"/>
        <v>266.95988023952094</v>
      </c>
      <c r="AL18" s="24">
        <f t="shared" si="7"/>
        <v>0</v>
      </c>
      <c r="AM18" s="24">
        <f t="shared" si="8"/>
        <v>0</v>
      </c>
      <c r="AN18" s="24">
        <f t="shared" si="9"/>
        <v>0</v>
      </c>
      <c r="AO18" s="24">
        <f t="shared" si="10"/>
        <v>0</v>
      </c>
      <c r="AP18" s="24">
        <f t="shared" si="11"/>
        <v>0</v>
      </c>
      <c r="AQ18" s="24">
        <f t="shared" si="12"/>
        <v>0</v>
      </c>
    </row>
    <row r="19" spans="1:43">
      <c r="A19" t="s">
        <v>59</v>
      </c>
      <c r="B19" t="s">
        <v>733</v>
      </c>
      <c r="C19" t="s">
        <v>734</v>
      </c>
      <c r="D19" s="117">
        <v>0</v>
      </c>
      <c r="E19" s="109">
        <v>896</v>
      </c>
      <c r="F19" s="109">
        <v>82</v>
      </c>
      <c r="G19" s="117">
        <v>8.3844580777096112E-2</v>
      </c>
      <c r="H19" s="109">
        <v>815</v>
      </c>
      <c r="I19" s="109">
        <v>75</v>
      </c>
      <c r="J19" s="117">
        <v>7.8781512605042014E-2</v>
      </c>
      <c r="K19" s="117">
        <v>8.7885154061624615E-2</v>
      </c>
      <c r="L19" s="109">
        <v>942</v>
      </c>
      <c r="M19" s="109">
        <v>942</v>
      </c>
      <c r="N19" s="109">
        <v>897</v>
      </c>
      <c r="O19" s="109">
        <v>553</v>
      </c>
      <c r="P19" s="109">
        <v>259</v>
      </c>
      <c r="Q19" s="109">
        <v>85</v>
      </c>
      <c r="R19" s="109">
        <v>37</v>
      </c>
      <c r="S19" s="109">
        <v>18</v>
      </c>
      <c r="T19" s="109">
        <v>13</v>
      </c>
      <c r="U19" s="109">
        <v>6</v>
      </c>
      <c r="V19" s="109">
        <v>8</v>
      </c>
      <c r="W19" s="109">
        <v>0</v>
      </c>
      <c r="Y19" s="24">
        <f>(S19+T19)*'space heating'!$C$20</f>
        <v>7.75</v>
      </c>
      <c r="Z19" s="24">
        <f t="shared" si="0"/>
        <v>43.566176470588232</v>
      </c>
      <c r="AA19" s="24">
        <f t="shared" si="1"/>
        <v>20.40441176470588</v>
      </c>
      <c r="AB19" s="24">
        <f t="shared" si="2"/>
        <v>6.6964285714285712</v>
      </c>
      <c r="AC19" s="24">
        <f>(Z19+AA19)*'space heating'!$C$22</f>
        <v>63.970588235294116</v>
      </c>
      <c r="AD19" s="24">
        <f>AB19*'space heating'!$C$23</f>
        <v>6.6964285714285712</v>
      </c>
      <c r="AE19" s="24">
        <f>(O19+P19-Z19-AA19)*'space heating'!$C$24</f>
        <v>280.5110294117647</v>
      </c>
      <c r="AF19" s="24">
        <f>(O19+P19-Z19-AA19)*'space heating'!$C$25</f>
        <v>280.5110294117647</v>
      </c>
      <c r="AG19" s="24">
        <f>(Q19-AB19)*'space heating'!$C$26</f>
        <v>39.151785714285715</v>
      </c>
      <c r="AH19" s="24">
        <f t="shared" si="3"/>
        <v>344.48161764705878</v>
      </c>
      <c r="AI19" s="24">
        <f t="shared" si="4"/>
        <v>334.10924369747897</v>
      </c>
      <c r="AJ19" s="24">
        <f t="shared" si="5"/>
        <v>344.48161764705878</v>
      </c>
      <c r="AK19" s="24">
        <f t="shared" si="6"/>
        <v>334.10924369747897</v>
      </c>
      <c r="AL19" s="24">
        <f t="shared" si="7"/>
        <v>0</v>
      </c>
      <c r="AM19" s="24">
        <f t="shared" si="8"/>
        <v>0</v>
      </c>
      <c r="AN19" s="24">
        <f t="shared" si="9"/>
        <v>0</v>
      </c>
      <c r="AO19" s="24">
        <f t="shared" si="10"/>
        <v>0</v>
      </c>
      <c r="AP19" s="24">
        <f t="shared" si="11"/>
        <v>0</v>
      </c>
      <c r="AQ19" s="24">
        <f t="shared" si="12"/>
        <v>0</v>
      </c>
    </row>
    <row r="20" spans="1:43">
      <c r="A20" t="s">
        <v>59</v>
      </c>
      <c r="B20" t="s">
        <v>735</v>
      </c>
      <c r="C20" t="s">
        <v>736</v>
      </c>
      <c r="D20" s="117">
        <v>0</v>
      </c>
      <c r="E20" s="109">
        <v>768</v>
      </c>
      <c r="F20" s="109">
        <v>369</v>
      </c>
      <c r="G20" s="117">
        <v>0.32453825857519791</v>
      </c>
      <c r="H20" s="109">
        <v>35</v>
      </c>
      <c r="I20" s="109">
        <v>862</v>
      </c>
      <c r="J20" s="117">
        <v>0.9329004329004329</v>
      </c>
      <c r="K20" s="117">
        <v>3.6316805446093059E-2</v>
      </c>
      <c r="L20" s="109">
        <v>837</v>
      </c>
      <c r="M20" s="109">
        <v>837</v>
      </c>
      <c r="N20" s="109">
        <v>803</v>
      </c>
      <c r="O20" s="109">
        <v>492</v>
      </c>
      <c r="P20" s="109">
        <v>209</v>
      </c>
      <c r="Q20" s="109">
        <v>102</v>
      </c>
      <c r="R20" s="109">
        <v>32</v>
      </c>
      <c r="S20" s="109">
        <v>12</v>
      </c>
      <c r="T20" s="109">
        <v>16</v>
      </c>
      <c r="U20" s="109">
        <v>4</v>
      </c>
      <c r="V20" s="109">
        <v>2</v>
      </c>
      <c r="W20" s="109">
        <v>0</v>
      </c>
      <c r="Y20" s="24">
        <f>(S20+T20)*'space heating'!$C$20</f>
        <v>7</v>
      </c>
      <c r="Z20" s="24">
        <f t="shared" si="0"/>
        <v>458.98701298701297</v>
      </c>
      <c r="AA20" s="24">
        <f t="shared" si="1"/>
        <v>194.97619047619048</v>
      </c>
      <c r="AB20" s="24">
        <f t="shared" si="2"/>
        <v>95.15584415584415</v>
      </c>
      <c r="AC20" s="24">
        <f>(Z20+AA20)*'space heating'!$C$22</f>
        <v>653.9632034632034</v>
      </c>
      <c r="AD20" s="24">
        <f>AB20*'space heating'!$C$23</f>
        <v>95.15584415584415</v>
      </c>
      <c r="AE20" s="24">
        <f>(O20+P20-Z20-AA20)*'space heating'!$C$24</f>
        <v>17.638798701298704</v>
      </c>
      <c r="AF20" s="24">
        <f>(O20+P20-Z20-AA20)*'space heating'!$C$25</f>
        <v>17.638798701298704</v>
      </c>
      <c r="AG20" s="24">
        <f>(Q20-AB20)*'space heating'!$C$26</f>
        <v>3.4220779220779249</v>
      </c>
      <c r="AH20" s="24">
        <f t="shared" si="3"/>
        <v>671.6020021645021</v>
      </c>
      <c r="AI20" s="24">
        <f t="shared" si="4"/>
        <v>123.21672077922079</v>
      </c>
      <c r="AJ20" s="24">
        <f>IF($A20="South hams",AH20,0)</f>
        <v>671.6020021645021</v>
      </c>
      <c r="AK20" s="24">
        <f>IF($A20="South hams",AI20,0)</f>
        <v>123.21672077922079</v>
      </c>
      <c r="AL20" s="24">
        <f t="shared" si="7"/>
        <v>0</v>
      </c>
      <c r="AM20" s="24">
        <f t="shared" si="8"/>
        <v>0</v>
      </c>
      <c r="AN20" s="24">
        <f>AH20*$D20</f>
        <v>0</v>
      </c>
      <c r="AO20" s="24">
        <f>AI20*$D20</f>
        <v>0</v>
      </c>
      <c r="AP20" s="24">
        <f>IF(AND($A20="teignbridge",$D20&gt;0),AN20,0)</f>
        <v>0</v>
      </c>
      <c r="AQ20" s="24">
        <f>IF(AND($A20="teignbridge",$D20&gt;0),AO20,0)</f>
        <v>0</v>
      </c>
    </row>
    <row r="21" spans="1:43">
      <c r="A21" t="s">
        <v>59</v>
      </c>
      <c r="B21" t="s">
        <v>737</v>
      </c>
      <c r="C21" t="s">
        <v>738</v>
      </c>
      <c r="D21" s="117">
        <v>0</v>
      </c>
      <c r="E21" s="109">
        <v>891</v>
      </c>
      <c r="F21" s="109">
        <v>264</v>
      </c>
      <c r="G21" s="117">
        <v>0.22857142857142856</v>
      </c>
      <c r="H21" s="109">
        <v>970</v>
      </c>
      <c r="I21" s="109">
        <v>34</v>
      </c>
      <c r="J21" s="117">
        <v>3.3797216699801194E-2</v>
      </c>
      <c r="K21" s="117">
        <v>0.12637594347335901</v>
      </c>
      <c r="L21" s="109">
        <v>1074</v>
      </c>
      <c r="M21" s="109">
        <v>1074</v>
      </c>
      <c r="N21" s="109">
        <v>869</v>
      </c>
      <c r="O21" s="109">
        <v>279</v>
      </c>
      <c r="P21" s="109">
        <v>281</v>
      </c>
      <c r="Q21" s="109">
        <v>309</v>
      </c>
      <c r="R21" s="109">
        <v>205</v>
      </c>
      <c r="S21" s="109">
        <v>150</v>
      </c>
      <c r="T21" s="109">
        <v>28</v>
      </c>
      <c r="U21" s="109">
        <v>27</v>
      </c>
      <c r="V21" s="109">
        <v>0</v>
      </c>
      <c r="W21" s="109">
        <v>0</v>
      </c>
      <c r="Y21" s="24">
        <f>(S21+T21)*'space heating'!$C$20</f>
        <v>44.5</v>
      </c>
      <c r="Z21" s="24">
        <f t="shared" si="0"/>
        <v>9.4294234592445338</v>
      </c>
      <c r="AA21" s="24">
        <f t="shared" si="1"/>
        <v>9.497017892644136</v>
      </c>
      <c r="AB21" s="24">
        <f t="shared" si="2"/>
        <v>10.443339960238569</v>
      </c>
      <c r="AC21" s="24">
        <f>(Z21+AA21)*'space heating'!$C$22</f>
        <v>18.92644135188867</v>
      </c>
      <c r="AD21" s="24">
        <f>AB21*'space heating'!$C$23</f>
        <v>10.443339960238569</v>
      </c>
      <c r="AE21" s="24">
        <f>(O21+P21-Z21-AA21)*'space heating'!$C$24</f>
        <v>202.90258449304173</v>
      </c>
      <c r="AF21" s="24">
        <f>(O21+P21-Z21-AA21)*'space heating'!$C$25</f>
        <v>202.90258449304173</v>
      </c>
      <c r="AG21" s="24">
        <f>(Q21-AB21)*'space heating'!$C$26</f>
        <v>149.27833001988071</v>
      </c>
      <c r="AH21" s="24">
        <f t="shared" si="3"/>
        <v>221.82902584493041</v>
      </c>
      <c r="AI21" s="24">
        <f t="shared" si="4"/>
        <v>407.12425447316105</v>
      </c>
      <c r="AJ21" s="24">
        <f t="shared" ref="AJ21:AJ35" si="13">IF($A21="South hams",AH21,0)</f>
        <v>221.82902584493041</v>
      </c>
      <c r="AK21" s="24">
        <f t="shared" ref="AK21:AK35" si="14">IF($A21="South hams",AI21,0)</f>
        <v>407.12425447316105</v>
      </c>
      <c r="AL21" s="24">
        <f t="shared" si="7"/>
        <v>0</v>
      </c>
      <c r="AM21" s="24">
        <f t="shared" si="8"/>
        <v>0</v>
      </c>
      <c r="AN21" s="24">
        <f t="shared" ref="AN21:AN35" si="15">AH21*$D21</f>
        <v>0</v>
      </c>
      <c r="AO21" s="24">
        <f t="shared" ref="AO21:AO35" si="16">AI21*$D21</f>
        <v>0</v>
      </c>
      <c r="AP21" s="24">
        <f t="shared" ref="AP21:AP35" si="17">IF(AND($A21="teignbridge",$D21&gt;0),AN21,0)</f>
        <v>0</v>
      </c>
      <c r="AQ21" s="24">
        <f t="shared" ref="AQ21:AQ35" si="18">IF(AND($A21="teignbridge",$D21&gt;0),AO21,0)</f>
        <v>0</v>
      </c>
    </row>
    <row r="22" spans="1:43">
      <c r="A22" t="s">
        <v>59</v>
      </c>
      <c r="B22" t="s">
        <v>739</v>
      </c>
      <c r="C22" t="s">
        <v>740</v>
      </c>
      <c r="D22" s="117">
        <v>0</v>
      </c>
      <c r="E22" s="109">
        <v>613</v>
      </c>
      <c r="F22" s="109">
        <v>39</v>
      </c>
      <c r="G22" s="117">
        <v>5.98159509202454E-2</v>
      </c>
      <c r="H22" s="109">
        <v>635</v>
      </c>
      <c r="I22" s="109">
        <v>47</v>
      </c>
      <c r="J22" s="117">
        <v>7.2307692307692309E-2</v>
      </c>
      <c r="K22" s="117">
        <v>-4.6234072675790508E-2</v>
      </c>
      <c r="L22" s="109">
        <v>644</v>
      </c>
      <c r="M22" s="109">
        <v>644</v>
      </c>
      <c r="N22" s="109">
        <v>641</v>
      </c>
      <c r="O22" s="109">
        <v>138</v>
      </c>
      <c r="P22" s="109">
        <v>319</v>
      </c>
      <c r="Q22" s="109">
        <v>184</v>
      </c>
      <c r="R22" s="109">
        <v>2</v>
      </c>
      <c r="S22" s="109">
        <v>0</v>
      </c>
      <c r="T22" s="109">
        <v>2</v>
      </c>
      <c r="U22" s="109">
        <v>0</v>
      </c>
      <c r="V22" s="109">
        <v>1</v>
      </c>
      <c r="W22" s="109">
        <v>0</v>
      </c>
      <c r="Y22" s="24">
        <f>(S22+T22)*'space heating'!$C$20</f>
        <v>0.5</v>
      </c>
      <c r="Z22" s="24">
        <f t="shared" si="0"/>
        <v>9.9784615384615378</v>
      </c>
      <c r="AA22" s="24">
        <f t="shared" si="1"/>
        <v>23.066153846153846</v>
      </c>
      <c r="AB22" s="24">
        <f t="shared" si="2"/>
        <v>13.304615384615385</v>
      </c>
      <c r="AC22" s="24">
        <f>(Z22+AA22)*'space heating'!$C$22</f>
        <v>33.044615384615383</v>
      </c>
      <c r="AD22" s="24">
        <f>AB22*'space heating'!$C$23</f>
        <v>13.304615384615385</v>
      </c>
      <c r="AE22" s="24">
        <f>(O22+P22-Z22-AA22)*'space heating'!$C$24</f>
        <v>158.98326923076922</v>
      </c>
      <c r="AF22" s="24">
        <f>(O22+P22-Z22-AA22)*'space heating'!$C$25</f>
        <v>158.98326923076922</v>
      </c>
      <c r="AG22" s="24">
        <f>(Q22-AB22)*'space heating'!$C$26</f>
        <v>85.347692307692313</v>
      </c>
      <c r="AH22" s="24">
        <f t="shared" si="3"/>
        <v>192.02788461538461</v>
      </c>
      <c r="AI22" s="24">
        <f t="shared" si="4"/>
        <v>258.13557692307688</v>
      </c>
      <c r="AJ22" s="24">
        <f t="shared" si="13"/>
        <v>192.02788461538461</v>
      </c>
      <c r="AK22" s="24">
        <f t="shared" si="14"/>
        <v>258.13557692307688</v>
      </c>
      <c r="AL22" s="24">
        <f t="shared" si="7"/>
        <v>0</v>
      </c>
      <c r="AM22" s="24">
        <f t="shared" si="8"/>
        <v>0</v>
      </c>
      <c r="AN22" s="24">
        <f t="shared" si="15"/>
        <v>0</v>
      </c>
      <c r="AO22" s="24">
        <f t="shared" si="16"/>
        <v>0</v>
      </c>
      <c r="AP22" s="24">
        <f t="shared" si="17"/>
        <v>0</v>
      </c>
      <c r="AQ22" s="24">
        <f t="shared" si="18"/>
        <v>0</v>
      </c>
    </row>
    <row r="23" spans="1:43">
      <c r="A23" t="s">
        <v>59</v>
      </c>
      <c r="B23" t="s">
        <v>741</v>
      </c>
      <c r="C23" t="s">
        <v>742</v>
      </c>
      <c r="D23" s="117">
        <v>0</v>
      </c>
      <c r="E23" s="109">
        <v>643</v>
      </c>
      <c r="F23" s="109">
        <v>45</v>
      </c>
      <c r="G23" s="117">
        <v>6.5406976744186052E-2</v>
      </c>
      <c r="H23" s="109">
        <v>614</v>
      </c>
      <c r="I23" s="109">
        <v>40</v>
      </c>
      <c r="J23" s="117">
        <v>5.8910162002945507E-2</v>
      </c>
      <c r="K23" s="117">
        <v>4.8647977531938183E-2</v>
      </c>
      <c r="L23" s="109">
        <v>679</v>
      </c>
      <c r="M23" s="109">
        <v>679</v>
      </c>
      <c r="N23" s="109">
        <v>674</v>
      </c>
      <c r="O23" s="109">
        <v>382</v>
      </c>
      <c r="P23" s="109">
        <v>167</v>
      </c>
      <c r="Q23" s="109">
        <v>125</v>
      </c>
      <c r="R23" s="109">
        <v>5</v>
      </c>
      <c r="S23" s="109">
        <v>3</v>
      </c>
      <c r="T23" s="109">
        <v>2</v>
      </c>
      <c r="U23" s="109">
        <v>0</v>
      </c>
      <c r="V23" s="109">
        <v>0</v>
      </c>
      <c r="W23" s="109">
        <v>0</v>
      </c>
      <c r="Y23" s="24">
        <f>(S23+T23)*'space heating'!$C$20</f>
        <v>1.25</v>
      </c>
      <c r="Z23" s="24">
        <f t="shared" si="0"/>
        <v>22.503681885125182</v>
      </c>
      <c r="AA23" s="24">
        <f t="shared" si="1"/>
        <v>9.8379970544919004</v>
      </c>
      <c r="AB23" s="24">
        <f t="shared" si="2"/>
        <v>7.3637702503681881</v>
      </c>
      <c r="AC23" s="24">
        <f>(Z23+AA23)*'space heating'!$C$22</f>
        <v>32.341678939617083</v>
      </c>
      <c r="AD23" s="24">
        <f>AB23*'space heating'!$C$23</f>
        <v>7.3637702503681881</v>
      </c>
      <c r="AE23" s="24">
        <f>(O23+P23-Z23-AA23)*'space heating'!$C$24</f>
        <v>193.74687039764359</v>
      </c>
      <c r="AF23" s="24">
        <f>(O23+P23-Z23-AA23)*'space heating'!$C$25</f>
        <v>193.74687039764359</v>
      </c>
      <c r="AG23" s="24">
        <f>(Q23-AB23)*'space heating'!$C$26</f>
        <v>58.818114874815905</v>
      </c>
      <c r="AH23" s="24">
        <f t="shared" si="3"/>
        <v>226.08854933726067</v>
      </c>
      <c r="AI23" s="24">
        <f t="shared" si="4"/>
        <v>261.17875552282771</v>
      </c>
      <c r="AJ23" s="24">
        <f t="shared" si="13"/>
        <v>226.08854933726067</v>
      </c>
      <c r="AK23" s="24">
        <f t="shared" si="14"/>
        <v>261.17875552282771</v>
      </c>
      <c r="AL23" s="24">
        <f t="shared" si="7"/>
        <v>0</v>
      </c>
      <c r="AM23" s="24">
        <f t="shared" si="8"/>
        <v>0</v>
      </c>
      <c r="AN23" s="24">
        <f t="shared" si="15"/>
        <v>0</v>
      </c>
      <c r="AO23" s="24">
        <f t="shared" si="16"/>
        <v>0</v>
      </c>
      <c r="AP23" s="24">
        <f t="shared" si="17"/>
        <v>0</v>
      </c>
      <c r="AQ23" s="24">
        <f t="shared" si="18"/>
        <v>0</v>
      </c>
    </row>
    <row r="24" spans="1:43">
      <c r="A24" t="s">
        <v>59</v>
      </c>
      <c r="B24" t="s">
        <v>743</v>
      </c>
      <c r="C24" t="s">
        <v>744</v>
      </c>
      <c r="D24" s="117">
        <v>0</v>
      </c>
      <c r="E24" s="109">
        <v>568</v>
      </c>
      <c r="F24" s="109">
        <v>104</v>
      </c>
      <c r="G24" s="117">
        <v>0.15476190476190477</v>
      </c>
      <c r="H24" s="109">
        <v>542</v>
      </c>
      <c r="I24" s="109">
        <v>15</v>
      </c>
      <c r="J24" s="117">
        <v>2.2658610271903322E-2</v>
      </c>
      <c r="K24" s="117">
        <v>0.1707937706804776</v>
      </c>
      <c r="L24" s="109">
        <v>643</v>
      </c>
      <c r="M24" s="109">
        <v>643</v>
      </c>
      <c r="N24" s="109">
        <v>588</v>
      </c>
      <c r="O24" s="109">
        <v>236</v>
      </c>
      <c r="P24" s="109">
        <v>162</v>
      </c>
      <c r="Q24" s="109">
        <v>190</v>
      </c>
      <c r="R24" s="109">
        <v>55</v>
      </c>
      <c r="S24" s="109">
        <v>48</v>
      </c>
      <c r="T24" s="109">
        <v>6</v>
      </c>
      <c r="U24" s="109">
        <v>1</v>
      </c>
      <c r="V24" s="109">
        <v>0</v>
      </c>
      <c r="W24" s="109">
        <v>0</v>
      </c>
      <c r="Y24" s="24">
        <f>(S24+T24)*'space heating'!$C$20</f>
        <v>13.5</v>
      </c>
      <c r="Z24" s="24">
        <f t="shared" si="0"/>
        <v>5.3474320241691844</v>
      </c>
      <c r="AA24" s="24">
        <f t="shared" si="1"/>
        <v>3.6706948640483383</v>
      </c>
      <c r="AB24" s="24">
        <f t="shared" si="2"/>
        <v>4.3051359516616312</v>
      </c>
      <c r="AC24" s="24">
        <f>(Z24+AA24)*'space heating'!$C$22</f>
        <v>9.0181268882175232</v>
      </c>
      <c r="AD24" s="24">
        <f>AB24*'space heating'!$C$23</f>
        <v>4.3051359516616312</v>
      </c>
      <c r="AE24" s="24">
        <f>(O24+P24-Z24-AA24)*'space heating'!$C$24</f>
        <v>145.86820241691842</v>
      </c>
      <c r="AF24" s="24">
        <f>(O24+P24-Z24-AA24)*'space heating'!$C$25</f>
        <v>145.86820241691842</v>
      </c>
      <c r="AG24" s="24">
        <f>(Q24-AB24)*'space heating'!$C$26</f>
        <v>92.84743202416918</v>
      </c>
      <c r="AH24" s="24">
        <f t="shared" si="3"/>
        <v>154.88632930513594</v>
      </c>
      <c r="AI24" s="24">
        <f t="shared" si="4"/>
        <v>256.52077039274923</v>
      </c>
      <c r="AJ24" s="24">
        <f t="shared" si="13"/>
        <v>154.88632930513594</v>
      </c>
      <c r="AK24" s="24">
        <f t="shared" si="14"/>
        <v>256.52077039274923</v>
      </c>
      <c r="AL24" s="24">
        <f t="shared" si="7"/>
        <v>0</v>
      </c>
      <c r="AM24" s="24">
        <f t="shared" si="8"/>
        <v>0</v>
      </c>
      <c r="AN24" s="24">
        <f t="shared" si="15"/>
        <v>0</v>
      </c>
      <c r="AO24" s="24">
        <f t="shared" si="16"/>
        <v>0</v>
      </c>
      <c r="AP24" s="24">
        <f t="shared" si="17"/>
        <v>0</v>
      </c>
      <c r="AQ24" s="24">
        <f t="shared" si="18"/>
        <v>0</v>
      </c>
    </row>
    <row r="25" spans="1:43">
      <c r="A25" t="s">
        <v>59</v>
      </c>
      <c r="B25" t="s">
        <v>745</v>
      </c>
      <c r="C25" t="s">
        <v>746</v>
      </c>
      <c r="D25" s="117">
        <v>0</v>
      </c>
      <c r="E25" s="109">
        <v>610</v>
      </c>
      <c r="F25" s="109">
        <v>20</v>
      </c>
      <c r="G25" s="117">
        <v>3.1746031746031744E-2</v>
      </c>
      <c r="H25" s="109">
        <v>619</v>
      </c>
      <c r="I25" s="109">
        <v>0</v>
      </c>
      <c r="J25" s="117">
        <v>0</v>
      </c>
      <c r="K25" s="117">
        <v>1.7460317460317509E-2</v>
      </c>
      <c r="L25" s="109">
        <v>621</v>
      </c>
      <c r="M25" s="109">
        <v>621</v>
      </c>
      <c r="N25" s="109">
        <v>617</v>
      </c>
      <c r="O25" s="109">
        <v>165</v>
      </c>
      <c r="P25" s="109">
        <v>282</v>
      </c>
      <c r="Q25" s="109">
        <v>170</v>
      </c>
      <c r="R25" s="109">
        <v>4</v>
      </c>
      <c r="S25" s="109">
        <v>4</v>
      </c>
      <c r="T25" s="109">
        <v>0</v>
      </c>
      <c r="U25" s="109">
        <v>0</v>
      </c>
      <c r="V25" s="109">
        <v>0</v>
      </c>
      <c r="W25" s="109">
        <v>0</v>
      </c>
      <c r="Y25" s="24">
        <f>(S25+T25)*'space heating'!$C$20</f>
        <v>1</v>
      </c>
      <c r="Z25" s="24">
        <f t="shared" si="0"/>
        <v>0</v>
      </c>
      <c r="AA25" s="24">
        <f t="shared" si="1"/>
        <v>0</v>
      </c>
      <c r="AB25" s="24">
        <f t="shared" si="2"/>
        <v>0</v>
      </c>
      <c r="AC25" s="24">
        <f>(Z25+AA25)*'space heating'!$C$22</f>
        <v>0</v>
      </c>
      <c r="AD25" s="24">
        <f>AB25*'space heating'!$C$23</f>
        <v>0</v>
      </c>
      <c r="AE25" s="24">
        <f>(O25+P25-Z25-AA25)*'space heating'!$C$24</f>
        <v>167.625</v>
      </c>
      <c r="AF25" s="24">
        <f>(O25+P25-Z25-AA25)*'space heating'!$C$25</f>
        <v>167.625</v>
      </c>
      <c r="AG25" s="24">
        <f>(Q25-AB25)*'space heating'!$C$26</f>
        <v>85</v>
      </c>
      <c r="AH25" s="24">
        <f t="shared" si="3"/>
        <v>167.625</v>
      </c>
      <c r="AI25" s="24">
        <f t="shared" si="4"/>
        <v>253.625</v>
      </c>
      <c r="AJ25" s="24">
        <f t="shared" si="13"/>
        <v>167.625</v>
      </c>
      <c r="AK25" s="24">
        <f t="shared" si="14"/>
        <v>253.625</v>
      </c>
      <c r="AL25" s="24">
        <f t="shared" si="7"/>
        <v>0</v>
      </c>
      <c r="AM25" s="24">
        <f t="shared" si="8"/>
        <v>0</v>
      </c>
      <c r="AN25" s="24">
        <f t="shared" si="15"/>
        <v>0</v>
      </c>
      <c r="AO25" s="24">
        <f t="shared" si="16"/>
        <v>0</v>
      </c>
      <c r="AP25" s="24">
        <f t="shared" si="17"/>
        <v>0</v>
      </c>
      <c r="AQ25" s="24">
        <f t="shared" si="18"/>
        <v>0</v>
      </c>
    </row>
    <row r="26" spans="1:43">
      <c r="A26" t="s">
        <v>59</v>
      </c>
      <c r="B26" t="s">
        <v>747</v>
      </c>
      <c r="C26" t="s">
        <v>748</v>
      </c>
      <c r="D26" s="117">
        <v>0</v>
      </c>
      <c r="E26" s="109">
        <v>550</v>
      </c>
      <c r="F26" s="109">
        <v>40</v>
      </c>
      <c r="G26" s="117">
        <v>6.7796610169491525E-2</v>
      </c>
      <c r="H26" s="109">
        <v>557</v>
      </c>
      <c r="I26" s="109">
        <v>0</v>
      </c>
      <c r="J26" s="117">
        <v>0</v>
      </c>
      <c r="K26" s="117">
        <v>5.5932203389830515E-2</v>
      </c>
      <c r="L26" s="109">
        <v>577</v>
      </c>
      <c r="M26" s="109">
        <v>577</v>
      </c>
      <c r="N26" s="109">
        <v>564</v>
      </c>
      <c r="O26" s="109">
        <v>158</v>
      </c>
      <c r="P26" s="109">
        <v>359</v>
      </c>
      <c r="Q26" s="109">
        <v>47</v>
      </c>
      <c r="R26" s="109">
        <v>12</v>
      </c>
      <c r="S26" s="109">
        <v>10</v>
      </c>
      <c r="T26" s="109">
        <v>2</v>
      </c>
      <c r="U26" s="109">
        <v>0</v>
      </c>
      <c r="V26" s="109">
        <v>1</v>
      </c>
      <c r="W26" s="109">
        <v>0</v>
      </c>
      <c r="Y26" s="24">
        <f>(S26+T26)*'space heating'!$C$20</f>
        <v>3</v>
      </c>
      <c r="Z26" s="24">
        <f t="shared" si="0"/>
        <v>0</v>
      </c>
      <c r="AA26" s="24">
        <f t="shared" si="1"/>
        <v>0</v>
      </c>
      <c r="AB26" s="24">
        <f t="shared" si="2"/>
        <v>0</v>
      </c>
      <c r="AC26" s="24">
        <f>(Z26+AA26)*'space heating'!$C$22</f>
        <v>0</v>
      </c>
      <c r="AD26" s="24">
        <f>AB26*'space heating'!$C$23</f>
        <v>0</v>
      </c>
      <c r="AE26" s="24">
        <f>(O26+P26-Z26-AA26)*'space heating'!$C$24</f>
        <v>193.875</v>
      </c>
      <c r="AF26" s="24">
        <f>(O26+P26-Z26-AA26)*'space heating'!$C$25</f>
        <v>193.875</v>
      </c>
      <c r="AG26" s="24">
        <f>(Q26-AB26)*'space heating'!$C$26</f>
        <v>23.5</v>
      </c>
      <c r="AH26" s="24">
        <f t="shared" si="3"/>
        <v>193.875</v>
      </c>
      <c r="AI26" s="24">
        <f t="shared" si="4"/>
        <v>220.375</v>
      </c>
      <c r="AJ26" s="24">
        <f t="shared" si="13"/>
        <v>193.875</v>
      </c>
      <c r="AK26" s="24">
        <f t="shared" si="14"/>
        <v>220.375</v>
      </c>
      <c r="AL26" s="24">
        <f t="shared" si="7"/>
        <v>0</v>
      </c>
      <c r="AM26" s="24">
        <f t="shared" si="8"/>
        <v>0</v>
      </c>
      <c r="AN26" s="24">
        <f t="shared" si="15"/>
        <v>0</v>
      </c>
      <c r="AO26" s="24">
        <f t="shared" si="16"/>
        <v>0</v>
      </c>
      <c r="AP26" s="24">
        <f t="shared" si="17"/>
        <v>0</v>
      </c>
      <c r="AQ26" s="24">
        <f t="shared" si="18"/>
        <v>0</v>
      </c>
    </row>
    <row r="27" spans="1:43">
      <c r="A27" t="s">
        <v>59</v>
      </c>
      <c r="B27" t="s">
        <v>749</v>
      </c>
      <c r="C27" t="s">
        <v>750</v>
      </c>
      <c r="D27" s="117">
        <v>0</v>
      </c>
      <c r="E27" s="109">
        <v>491</v>
      </c>
      <c r="F27" s="109">
        <v>14</v>
      </c>
      <c r="G27" s="117">
        <v>2.7722772277227723E-2</v>
      </c>
      <c r="H27" s="109">
        <v>496</v>
      </c>
      <c r="I27" s="109">
        <v>18</v>
      </c>
      <c r="J27" s="117">
        <v>3.5856573705179286E-2</v>
      </c>
      <c r="K27" s="117">
        <v>-1.8034791526961448E-2</v>
      </c>
      <c r="L27" s="109">
        <v>503</v>
      </c>
      <c r="M27" s="109">
        <v>503</v>
      </c>
      <c r="N27" s="109">
        <v>495</v>
      </c>
      <c r="O27" s="109">
        <v>330</v>
      </c>
      <c r="P27" s="109">
        <v>124</v>
      </c>
      <c r="Q27" s="109">
        <v>41</v>
      </c>
      <c r="R27" s="109">
        <v>8</v>
      </c>
      <c r="S27" s="109">
        <v>5</v>
      </c>
      <c r="T27" s="109">
        <v>1</v>
      </c>
      <c r="U27" s="109">
        <v>2</v>
      </c>
      <c r="V27" s="109">
        <v>0</v>
      </c>
      <c r="W27" s="109">
        <v>0</v>
      </c>
      <c r="Y27" s="24">
        <f>(S27+T27)*'space heating'!$C$20</f>
        <v>1.5</v>
      </c>
      <c r="Z27" s="24">
        <f t="shared" si="0"/>
        <v>11.832669322709163</v>
      </c>
      <c r="AA27" s="24">
        <f t="shared" si="1"/>
        <v>4.4462151394422316</v>
      </c>
      <c r="AB27" s="24">
        <f t="shared" si="2"/>
        <v>1.4701195219123506</v>
      </c>
      <c r="AC27" s="24">
        <f>(Z27+AA27)*'space heating'!$C$22</f>
        <v>16.278884462151396</v>
      </c>
      <c r="AD27" s="24">
        <f>AB27*'space heating'!$C$23</f>
        <v>1.4701195219123506</v>
      </c>
      <c r="AE27" s="24">
        <f>(O27+P27-Z27-AA27)*'space heating'!$C$24</f>
        <v>164.14541832669323</v>
      </c>
      <c r="AF27" s="24">
        <f>(O27+P27-Z27-AA27)*'space heating'!$C$25</f>
        <v>164.14541832669323</v>
      </c>
      <c r="AG27" s="24">
        <f>(Q27-AB27)*'space heating'!$C$26</f>
        <v>19.764940239043824</v>
      </c>
      <c r="AH27" s="24">
        <f t="shared" si="3"/>
        <v>180.42430278884461</v>
      </c>
      <c r="AI27" s="24">
        <f t="shared" si="4"/>
        <v>186.88047808764941</v>
      </c>
      <c r="AJ27" s="24">
        <f t="shared" si="13"/>
        <v>180.42430278884461</v>
      </c>
      <c r="AK27" s="24">
        <f t="shared" si="14"/>
        <v>186.88047808764941</v>
      </c>
      <c r="AL27" s="24">
        <f t="shared" si="7"/>
        <v>0</v>
      </c>
      <c r="AM27" s="24">
        <f t="shared" si="8"/>
        <v>0</v>
      </c>
      <c r="AN27" s="24">
        <f t="shared" si="15"/>
        <v>0</v>
      </c>
      <c r="AO27" s="24">
        <f t="shared" si="16"/>
        <v>0</v>
      </c>
      <c r="AP27" s="24">
        <f t="shared" si="17"/>
        <v>0</v>
      </c>
      <c r="AQ27" s="24">
        <f t="shared" si="18"/>
        <v>0</v>
      </c>
    </row>
    <row r="28" spans="1:43">
      <c r="A28" t="s">
        <v>59</v>
      </c>
      <c r="B28" t="s">
        <v>751</v>
      </c>
      <c r="C28" t="s">
        <v>752</v>
      </c>
      <c r="D28" s="117">
        <v>0</v>
      </c>
      <c r="E28" s="109">
        <v>682</v>
      </c>
      <c r="F28" s="109">
        <v>412</v>
      </c>
      <c r="G28" s="117">
        <v>0.37659963436928701</v>
      </c>
      <c r="H28" s="109">
        <v>160</v>
      </c>
      <c r="I28" s="109">
        <v>784</v>
      </c>
      <c r="J28" s="117">
        <v>0.84573894282632145</v>
      </c>
      <c r="K28" s="117">
        <v>8.0087719817224512E-3</v>
      </c>
      <c r="L28" s="109">
        <v>973</v>
      </c>
      <c r="M28" s="109">
        <v>973</v>
      </c>
      <c r="N28" s="109">
        <v>898</v>
      </c>
      <c r="O28" s="109">
        <v>399</v>
      </c>
      <c r="P28" s="109">
        <v>289</v>
      </c>
      <c r="Q28" s="109">
        <v>210</v>
      </c>
      <c r="R28" s="109">
        <v>69</v>
      </c>
      <c r="S28" s="109">
        <v>28</v>
      </c>
      <c r="T28" s="109">
        <v>32</v>
      </c>
      <c r="U28" s="109">
        <v>9</v>
      </c>
      <c r="V28" s="109">
        <v>6</v>
      </c>
      <c r="W28" s="109">
        <v>0</v>
      </c>
      <c r="Y28" s="24">
        <f>(S28+T28)*'space heating'!$C$20</f>
        <v>15</v>
      </c>
      <c r="Z28" s="24">
        <f t="shared" si="0"/>
        <v>337.44983818770226</v>
      </c>
      <c r="AA28" s="24">
        <f t="shared" si="1"/>
        <v>244.41855447680689</v>
      </c>
      <c r="AB28" s="24">
        <f t="shared" si="2"/>
        <v>177.60517799352749</v>
      </c>
      <c r="AC28" s="24">
        <f>(Z28+AA28)*'space heating'!$C$22</f>
        <v>581.8683926645092</v>
      </c>
      <c r="AD28" s="24">
        <f>AB28*'space heating'!$C$23</f>
        <v>177.60517799352749</v>
      </c>
      <c r="AE28" s="24">
        <f>(O28+P28-Z28-AA28)*'space heating'!$C$24</f>
        <v>39.799352750809071</v>
      </c>
      <c r="AF28" s="24">
        <f>(O28+P28-Z28-AA28)*'space heating'!$C$25</f>
        <v>39.799352750809071</v>
      </c>
      <c r="AG28" s="24">
        <f>(Q28-AB28)*'space heating'!$C$26</f>
        <v>16.197411003236255</v>
      </c>
      <c r="AH28" s="24">
        <f t="shared" si="3"/>
        <v>621.66774541531822</v>
      </c>
      <c r="AI28" s="24">
        <f t="shared" si="4"/>
        <v>248.60194174757282</v>
      </c>
      <c r="AJ28" s="24">
        <f t="shared" si="13"/>
        <v>621.66774541531822</v>
      </c>
      <c r="AK28" s="24">
        <f t="shared" si="14"/>
        <v>248.60194174757282</v>
      </c>
      <c r="AL28" s="24">
        <f t="shared" si="7"/>
        <v>0</v>
      </c>
      <c r="AM28" s="24">
        <f t="shared" si="8"/>
        <v>0</v>
      </c>
      <c r="AN28" s="24">
        <f t="shared" si="15"/>
        <v>0</v>
      </c>
      <c r="AO28" s="24">
        <f t="shared" si="16"/>
        <v>0</v>
      </c>
      <c r="AP28" s="24">
        <f t="shared" si="17"/>
        <v>0</v>
      </c>
      <c r="AQ28" s="24">
        <f t="shared" si="18"/>
        <v>0</v>
      </c>
    </row>
    <row r="29" spans="1:43">
      <c r="A29" t="s">
        <v>59</v>
      </c>
      <c r="B29" t="s">
        <v>753</v>
      </c>
      <c r="C29" t="s">
        <v>754</v>
      </c>
      <c r="D29" s="117">
        <v>0</v>
      </c>
      <c r="E29" s="109">
        <v>731</v>
      </c>
      <c r="F29" s="109">
        <v>298</v>
      </c>
      <c r="G29" s="117">
        <v>0.28960155490767736</v>
      </c>
      <c r="H29" s="109">
        <v>242</v>
      </c>
      <c r="I29" s="109">
        <v>561</v>
      </c>
      <c r="J29" s="117">
        <v>0.64780600461893767</v>
      </c>
      <c r="K29" s="117">
        <v>0.11701420918086802</v>
      </c>
      <c r="L29" s="109">
        <v>933</v>
      </c>
      <c r="M29" s="109">
        <v>933</v>
      </c>
      <c r="N29" s="109">
        <v>878</v>
      </c>
      <c r="O29" s="109">
        <v>466</v>
      </c>
      <c r="P29" s="109">
        <v>205</v>
      </c>
      <c r="Q29" s="109">
        <v>207</v>
      </c>
      <c r="R29" s="109">
        <v>47</v>
      </c>
      <c r="S29" s="109">
        <v>17</v>
      </c>
      <c r="T29" s="109">
        <v>25</v>
      </c>
      <c r="U29" s="109">
        <v>5</v>
      </c>
      <c r="V29" s="109">
        <v>8</v>
      </c>
      <c r="W29" s="109">
        <v>0</v>
      </c>
      <c r="Y29" s="24">
        <f>(S29+T29)*'space heating'!$C$20</f>
        <v>10.5</v>
      </c>
      <c r="Z29" s="24">
        <f t="shared" si="0"/>
        <v>301.87759815242498</v>
      </c>
      <c r="AA29" s="24">
        <f t="shared" si="1"/>
        <v>132.80023094688221</v>
      </c>
      <c r="AB29" s="24">
        <f t="shared" si="2"/>
        <v>134.09584295612009</v>
      </c>
      <c r="AC29" s="24">
        <f>(Z29+AA29)*'space heating'!$C$22</f>
        <v>434.67782909930719</v>
      </c>
      <c r="AD29" s="24">
        <f>AB29*'space heating'!$C$23</f>
        <v>134.09584295612009</v>
      </c>
      <c r="AE29" s="24">
        <f>(O29+P29-Z29-AA29)*'space heating'!$C$24</f>
        <v>88.620814087759811</v>
      </c>
      <c r="AF29" s="24">
        <f>(O29+P29-Z29-AA29)*'space heating'!$C$25</f>
        <v>88.620814087759811</v>
      </c>
      <c r="AG29" s="24">
        <f>(Q29-AB29)*'space heating'!$C$26</f>
        <v>36.452078521939953</v>
      </c>
      <c r="AH29" s="24">
        <f t="shared" si="3"/>
        <v>523.298643187067</v>
      </c>
      <c r="AI29" s="24">
        <f t="shared" si="4"/>
        <v>269.66873556581987</v>
      </c>
      <c r="AJ29" s="24">
        <f t="shared" si="13"/>
        <v>523.298643187067</v>
      </c>
      <c r="AK29" s="24">
        <f t="shared" si="14"/>
        <v>269.66873556581987</v>
      </c>
      <c r="AL29" s="24">
        <f t="shared" si="7"/>
        <v>0</v>
      </c>
      <c r="AM29" s="24">
        <f t="shared" si="8"/>
        <v>0</v>
      </c>
      <c r="AN29" s="24">
        <f t="shared" si="15"/>
        <v>0</v>
      </c>
      <c r="AO29" s="24">
        <f t="shared" si="16"/>
        <v>0</v>
      </c>
      <c r="AP29" s="24">
        <f t="shared" si="17"/>
        <v>0</v>
      </c>
      <c r="AQ29" s="24">
        <f t="shared" si="18"/>
        <v>0</v>
      </c>
    </row>
    <row r="30" spans="1:43">
      <c r="A30" t="s">
        <v>59</v>
      </c>
      <c r="B30" t="s">
        <v>755</v>
      </c>
      <c r="C30" t="s">
        <v>756</v>
      </c>
      <c r="D30" s="117">
        <v>0</v>
      </c>
      <c r="E30" s="109">
        <v>642</v>
      </c>
      <c r="F30" s="109">
        <v>123</v>
      </c>
      <c r="G30" s="117">
        <v>0.16078431372549021</v>
      </c>
      <c r="H30" s="109">
        <v>570</v>
      </c>
      <c r="I30" s="109">
        <v>161</v>
      </c>
      <c r="J30" s="117">
        <v>0.2178619756427605</v>
      </c>
      <c r="K30" s="117">
        <v>3.7039985141553211E-2</v>
      </c>
      <c r="L30" s="109">
        <v>749</v>
      </c>
      <c r="M30" s="109">
        <v>749</v>
      </c>
      <c r="N30" s="109">
        <v>707</v>
      </c>
      <c r="O30" s="109">
        <v>358</v>
      </c>
      <c r="P30" s="109">
        <v>243</v>
      </c>
      <c r="Q30" s="109">
        <v>106</v>
      </c>
      <c r="R30" s="109">
        <v>34</v>
      </c>
      <c r="S30" s="109">
        <v>7</v>
      </c>
      <c r="T30" s="109">
        <v>22</v>
      </c>
      <c r="U30" s="109">
        <v>5</v>
      </c>
      <c r="V30" s="109">
        <v>8</v>
      </c>
      <c r="W30" s="109">
        <v>0</v>
      </c>
      <c r="Y30" s="24">
        <f>(S30+T30)*'space heating'!$C$20</f>
        <v>7.25</v>
      </c>
      <c r="Z30" s="24">
        <f t="shared" si="0"/>
        <v>77.994587280108263</v>
      </c>
      <c r="AA30" s="24">
        <f t="shared" si="1"/>
        <v>52.9404600811908</v>
      </c>
      <c r="AB30" s="24">
        <f t="shared" si="2"/>
        <v>23.093369418132614</v>
      </c>
      <c r="AC30" s="24">
        <f>(Z30+AA30)*'space heating'!$C$22</f>
        <v>130.93504736129907</v>
      </c>
      <c r="AD30" s="24">
        <f>AB30*'space heating'!$C$23</f>
        <v>23.093369418132614</v>
      </c>
      <c r="AE30" s="24">
        <f>(O30+P30-Z30-AA30)*'space heating'!$C$24</f>
        <v>176.27435723951285</v>
      </c>
      <c r="AF30" s="24">
        <f>(O30+P30-Z30-AA30)*'space heating'!$C$25</f>
        <v>176.27435723951285</v>
      </c>
      <c r="AG30" s="24">
        <f>(Q30-AB30)*'space heating'!$C$26</f>
        <v>41.453315290933695</v>
      </c>
      <c r="AH30" s="24">
        <f t="shared" si="3"/>
        <v>307.20940460081192</v>
      </c>
      <c r="AI30" s="24">
        <f t="shared" si="4"/>
        <v>248.07104194857916</v>
      </c>
      <c r="AJ30" s="24">
        <f t="shared" si="13"/>
        <v>307.20940460081192</v>
      </c>
      <c r="AK30" s="24">
        <f t="shared" si="14"/>
        <v>248.07104194857916</v>
      </c>
      <c r="AL30" s="24">
        <f t="shared" si="7"/>
        <v>0</v>
      </c>
      <c r="AM30" s="24">
        <f t="shared" si="8"/>
        <v>0</v>
      </c>
      <c r="AN30" s="24">
        <f t="shared" si="15"/>
        <v>0</v>
      </c>
      <c r="AO30" s="24">
        <f t="shared" si="16"/>
        <v>0</v>
      </c>
      <c r="AP30" s="24">
        <f t="shared" si="17"/>
        <v>0</v>
      </c>
      <c r="AQ30" s="24">
        <f t="shared" si="18"/>
        <v>0</v>
      </c>
    </row>
    <row r="31" spans="1:43">
      <c r="A31" t="s">
        <v>59</v>
      </c>
      <c r="B31" t="s">
        <v>757</v>
      </c>
      <c r="C31" t="s">
        <v>758</v>
      </c>
      <c r="D31" s="117">
        <v>0</v>
      </c>
      <c r="E31" s="109">
        <v>916</v>
      </c>
      <c r="F31" s="109">
        <v>189</v>
      </c>
      <c r="G31" s="117">
        <v>0.17104072398190046</v>
      </c>
      <c r="H31" s="109">
        <v>879</v>
      </c>
      <c r="I31" s="109">
        <v>120</v>
      </c>
      <c r="J31" s="117">
        <v>0.11846001974333663</v>
      </c>
      <c r="K31" s="117">
        <v>8.6064867134491477E-2</v>
      </c>
      <c r="L31" s="109">
        <v>796</v>
      </c>
      <c r="M31" s="109">
        <v>796</v>
      </c>
      <c r="N31" s="109">
        <v>654</v>
      </c>
      <c r="O31" s="109">
        <v>323</v>
      </c>
      <c r="P31" s="109">
        <v>137</v>
      </c>
      <c r="Q31" s="109">
        <v>194</v>
      </c>
      <c r="R31" s="109">
        <v>140</v>
      </c>
      <c r="S31" s="109">
        <v>54</v>
      </c>
      <c r="T31" s="109">
        <v>86</v>
      </c>
      <c r="U31" s="109">
        <v>0</v>
      </c>
      <c r="V31" s="109">
        <v>2</v>
      </c>
      <c r="W31" s="109">
        <v>0</v>
      </c>
      <c r="Y31" s="24">
        <f>(S31+T31)*'space heating'!$C$20</f>
        <v>35</v>
      </c>
      <c r="Z31" s="24">
        <f t="shared" si="0"/>
        <v>38.262586377097733</v>
      </c>
      <c r="AA31" s="24">
        <f t="shared" si="1"/>
        <v>16.229022704837117</v>
      </c>
      <c r="AB31" s="24">
        <f t="shared" si="2"/>
        <v>22.981243830207305</v>
      </c>
      <c r="AC31" s="24">
        <f>(Z31+AA31)*'space heating'!$C$22</f>
        <v>54.491609081934854</v>
      </c>
      <c r="AD31" s="24">
        <f>AB31*'space heating'!$C$23</f>
        <v>22.981243830207305</v>
      </c>
      <c r="AE31" s="24">
        <f>(O31+P31-Z31-AA31)*'space heating'!$C$24</f>
        <v>152.06564659427443</v>
      </c>
      <c r="AF31" s="24">
        <f>(O31+P31-Z31-AA31)*'space heating'!$C$25</f>
        <v>152.06564659427443</v>
      </c>
      <c r="AG31" s="24">
        <f>(Q31-AB31)*'space heating'!$C$26</f>
        <v>85.509378084896355</v>
      </c>
      <c r="AH31" s="24">
        <f t="shared" si="3"/>
        <v>206.55725567620928</v>
      </c>
      <c r="AI31" s="24">
        <f t="shared" si="4"/>
        <v>295.55626850937807</v>
      </c>
      <c r="AJ31" s="24">
        <f t="shared" si="13"/>
        <v>206.55725567620928</v>
      </c>
      <c r="AK31" s="24">
        <f t="shared" si="14"/>
        <v>295.55626850937807</v>
      </c>
      <c r="AL31" s="24">
        <f t="shared" si="7"/>
        <v>0</v>
      </c>
      <c r="AM31" s="24">
        <f t="shared" si="8"/>
        <v>0</v>
      </c>
      <c r="AN31" s="24">
        <f t="shared" si="15"/>
        <v>0</v>
      </c>
      <c r="AO31" s="24">
        <f t="shared" si="16"/>
        <v>0</v>
      </c>
      <c r="AP31" s="24">
        <f t="shared" si="17"/>
        <v>0</v>
      </c>
      <c r="AQ31" s="24">
        <f t="shared" si="18"/>
        <v>0</v>
      </c>
    </row>
    <row r="32" spans="1:43">
      <c r="A32" t="s">
        <v>59</v>
      </c>
      <c r="B32" t="s">
        <v>759</v>
      </c>
      <c r="C32" t="s">
        <v>760</v>
      </c>
      <c r="D32" s="117">
        <v>0</v>
      </c>
      <c r="E32" s="109">
        <v>1093</v>
      </c>
      <c r="F32" s="109">
        <v>362</v>
      </c>
      <c r="G32" s="117">
        <v>0.24879725085910653</v>
      </c>
      <c r="H32" s="109">
        <v>1034</v>
      </c>
      <c r="I32" s="109">
        <v>64</v>
      </c>
      <c r="J32" s="117">
        <v>4.9344641480339242E-2</v>
      </c>
      <c r="K32" s="117">
        <v>0.24000243755746142</v>
      </c>
      <c r="L32" s="109">
        <v>857</v>
      </c>
      <c r="M32" s="109">
        <v>853</v>
      </c>
      <c r="N32" s="109">
        <v>416</v>
      </c>
      <c r="O32" s="109">
        <v>71</v>
      </c>
      <c r="P32" s="109">
        <v>108</v>
      </c>
      <c r="Q32" s="109">
        <v>237</v>
      </c>
      <c r="R32" s="109">
        <v>431</v>
      </c>
      <c r="S32" s="109">
        <v>198</v>
      </c>
      <c r="T32" s="109">
        <v>137</v>
      </c>
      <c r="U32" s="109">
        <v>96</v>
      </c>
      <c r="V32" s="109">
        <v>6</v>
      </c>
      <c r="W32" s="109">
        <v>4</v>
      </c>
      <c r="Y32" s="24">
        <f>(S32+T32)*'space heating'!$C$20</f>
        <v>83.75</v>
      </c>
      <c r="Z32" s="24">
        <f t="shared" si="0"/>
        <v>3.5034695451040863</v>
      </c>
      <c r="AA32" s="24">
        <f t="shared" si="1"/>
        <v>5.3292212798766379</v>
      </c>
      <c r="AB32" s="24">
        <f t="shared" si="2"/>
        <v>11.6946800308404</v>
      </c>
      <c r="AC32" s="24">
        <f>(Z32+AA32)*'space heating'!$C$22</f>
        <v>8.8326908249807232</v>
      </c>
      <c r="AD32" s="24">
        <f>AB32*'space heating'!$C$23</f>
        <v>11.6946800308404</v>
      </c>
      <c r="AE32" s="24">
        <f>(O32+P32-Z32-AA32)*'space heating'!$C$24</f>
        <v>63.812740940632231</v>
      </c>
      <c r="AF32" s="24">
        <f>(O32+P32-Z32-AA32)*'space heating'!$C$25</f>
        <v>63.812740940632231</v>
      </c>
      <c r="AG32" s="24">
        <f>(Q32-AB32)*'space heating'!$C$26</f>
        <v>112.6526599845798</v>
      </c>
      <c r="AH32" s="24">
        <f t="shared" si="3"/>
        <v>72.645431765612955</v>
      </c>
      <c r="AI32" s="24">
        <f t="shared" si="4"/>
        <v>271.91008095605241</v>
      </c>
      <c r="AJ32" s="24">
        <f t="shared" si="13"/>
        <v>72.645431765612955</v>
      </c>
      <c r="AK32" s="24">
        <f t="shared" si="14"/>
        <v>271.91008095605241</v>
      </c>
      <c r="AL32" s="24">
        <f t="shared" si="7"/>
        <v>0</v>
      </c>
      <c r="AM32" s="24">
        <f t="shared" si="8"/>
        <v>0</v>
      </c>
      <c r="AN32" s="24">
        <f t="shared" si="15"/>
        <v>0</v>
      </c>
      <c r="AO32" s="24">
        <f t="shared" si="16"/>
        <v>0</v>
      </c>
      <c r="AP32" s="24">
        <f t="shared" si="17"/>
        <v>0</v>
      </c>
      <c r="AQ32" s="24">
        <f t="shared" si="18"/>
        <v>0</v>
      </c>
    </row>
    <row r="33" spans="1:43">
      <c r="A33" t="s">
        <v>59</v>
      </c>
      <c r="B33" t="s">
        <v>761</v>
      </c>
      <c r="C33" t="s">
        <v>762</v>
      </c>
      <c r="D33" s="117">
        <v>0</v>
      </c>
      <c r="E33" s="109">
        <v>472</v>
      </c>
      <c r="F33" s="109">
        <v>40</v>
      </c>
      <c r="G33" s="117">
        <v>7.8125E-2</v>
      </c>
      <c r="H33" s="109">
        <v>474</v>
      </c>
      <c r="I33" s="109">
        <v>46</v>
      </c>
      <c r="J33" s="117">
        <v>9.2929292929292931E-2</v>
      </c>
      <c r="K33" s="117">
        <v>-1.8710542929292931E-2</v>
      </c>
      <c r="L33" s="109">
        <v>500</v>
      </c>
      <c r="M33" s="109">
        <v>500</v>
      </c>
      <c r="N33" s="109">
        <v>478</v>
      </c>
      <c r="O33" s="109">
        <v>78</v>
      </c>
      <c r="P33" s="109">
        <v>219</v>
      </c>
      <c r="Q33" s="109">
        <v>181</v>
      </c>
      <c r="R33" s="109">
        <v>20</v>
      </c>
      <c r="S33" s="109">
        <v>14</v>
      </c>
      <c r="T33" s="109">
        <v>5</v>
      </c>
      <c r="U33" s="109">
        <v>1</v>
      </c>
      <c r="V33" s="109">
        <v>2</v>
      </c>
      <c r="W33" s="109">
        <v>0</v>
      </c>
      <c r="Y33" s="24">
        <f>(S33+T33)*'space heating'!$C$20</f>
        <v>4.75</v>
      </c>
      <c r="Z33" s="24">
        <f t="shared" si="0"/>
        <v>7.248484848484849</v>
      </c>
      <c r="AA33" s="24">
        <f t="shared" si="1"/>
        <v>20.351515151515152</v>
      </c>
      <c r="AB33" s="24">
        <f t="shared" si="2"/>
        <v>16.820202020202021</v>
      </c>
      <c r="AC33" s="24">
        <f>(Z33+AA33)*'space heating'!$C$22</f>
        <v>27.6</v>
      </c>
      <c r="AD33" s="24">
        <f>AB33*'space heating'!$C$23</f>
        <v>16.820202020202021</v>
      </c>
      <c r="AE33" s="24">
        <f>(O33+P33-Z33-AA33)*'space heating'!$C$24</f>
        <v>101.02499999999999</v>
      </c>
      <c r="AF33" s="24">
        <f>(O33+P33-Z33-AA33)*'space heating'!$C$25</f>
        <v>101.02499999999999</v>
      </c>
      <c r="AG33" s="24">
        <f>(Q33-AB33)*'space heating'!$C$26</f>
        <v>82.089898989898984</v>
      </c>
      <c r="AH33" s="24">
        <f t="shared" si="3"/>
        <v>128.625</v>
      </c>
      <c r="AI33" s="24">
        <f t="shared" si="4"/>
        <v>204.68510101010099</v>
      </c>
      <c r="AJ33" s="24">
        <f t="shared" si="13"/>
        <v>128.625</v>
      </c>
      <c r="AK33" s="24">
        <f t="shared" si="14"/>
        <v>204.68510101010099</v>
      </c>
      <c r="AL33" s="24">
        <f t="shared" si="7"/>
        <v>0</v>
      </c>
      <c r="AM33" s="24">
        <f t="shared" si="8"/>
        <v>0</v>
      </c>
      <c r="AN33" s="24">
        <f t="shared" si="15"/>
        <v>0</v>
      </c>
      <c r="AO33" s="24">
        <f t="shared" si="16"/>
        <v>0</v>
      </c>
      <c r="AP33" s="24">
        <f t="shared" si="17"/>
        <v>0</v>
      </c>
      <c r="AQ33" s="24">
        <f t="shared" si="18"/>
        <v>0</v>
      </c>
    </row>
    <row r="34" spans="1:43">
      <c r="A34" t="s">
        <v>59</v>
      </c>
      <c r="B34" t="s">
        <v>763</v>
      </c>
      <c r="C34" t="s">
        <v>764</v>
      </c>
      <c r="D34" s="117">
        <v>0</v>
      </c>
      <c r="E34" s="109">
        <v>439</v>
      </c>
      <c r="F34" s="109">
        <v>73</v>
      </c>
      <c r="G34" s="117">
        <v>0.142578125</v>
      </c>
      <c r="H34" s="109">
        <v>445</v>
      </c>
      <c r="I34" s="109">
        <v>45</v>
      </c>
      <c r="J34" s="117">
        <v>9.2975206611570244E-2</v>
      </c>
      <c r="K34" s="117">
        <v>3.7884168388429756E-2</v>
      </c>
      <c r="L34" s="109">
        <v>482</v>
      </c>
      <c r="M34" s="109">
        <v>482</v>
      </c>
      <c r="N34" s="109">
        <v>261</v>
      </c>
      <c r="O34" s="109">
        <v>21</v>
      </c>
      <c r="P34" s="109">
        <v>122</v>
      </c>
      <c r="Q34" s="109">
        <v>118</v>
      </c>
      <c r="R34" s="109">
        <v>221</v>
      </c>
      <c r="S34" s="109">
        <v>203</v>
      </c>
      <c r="T34" s="109">
        <v>14</v>
      </c>
      <c r="U34" s="109">
        <v>4</v>
      </c>
      <c r="V34" s="109">
        <v>0</v>
      </c>
      <c r="W34" s="109">
        <v>0</v>
      </c>
      <c r="Y34" s="24">
        <f>(S34+T34)*'space heating'!$C$20</f>
        <v>54.25</v>
      </c>
      <c r="Z34" s="24">
        <f t="shared" si="0"/>
        <v>1.9524793388429751</v>
      </c>
      <c r="AA34" s="24">
        <f t="shared" si="1"/>
        <v>11.34297520661157</v>
      </c>
      <c r="AB34" s="24">
        <f t="shared" si="2"/>
        <v>10.971074380165289</v>
      </c>
      <c r="AC34" s="24">
        <f>(Z34+AA34)*'space heating'!$C$22</f>
        <v>13.295454545454545</v>
      </c>
      <c r="AD34" s="24">
        <f>AB34*'space heating'!$C$23</f>
        <v>10.971074380165289</v>
      </c>
      <c r="AE34" s="24">
        <f>(O34+P34-Z34-AA34)*'space heating'!$C$24</f>
        <v>48.63920454545454</v>
      </c>
      <c r="AF34" s="24">
        <f>(O34+P34-Z34-AA34)*'space heating'!$C$25</f>
        <v>48.63920454545454</v>
      </c>
      <c r="AG34" s="24">
        <f>(Q34-AB34)*'space heating'!$C$26</f>
        <v>53.514462809917354</v>
      </c>
      <c r="AH34" s="24">
        <f t="shared" si="3"/>
        <v>61.934659090909086</v>
      </c>
      <c r="AI34" s="24">
        <f t="shared" si="4"/>
        <v>167.37474173553719</v>
      </c>
      <c r="AJ34" s="24">
        <f t="shared" si="13"/>
        <v>61.934659090909086</v>
      </c>
      <c r="AK34" s="24">
        <f t="shared" si="14"/>
        <v>167.37474173553719</v>
      </c>
      <c r="AL34" s="24">
        <f t="shared" si="7"/>
        <v>0</v>
      </c>
      <c r="AM34" s="24">
        <f t="shared" si="8"/>
        <v>0</v>
      </c>
      <c r="AN34" s="24">
        <f t="shared" si="15"/>
        <v>0</v>
      </c>
      <c r="AO34" s="24">
        <f t="shared" si="16"/>
        <v>0</v>
      </c>
      <c r="AP34" s="24">
        <f t="shared" si="17"/>
        <v>0</v>
      </c>
      <c r="AQ34" s="24">
        <f t="shared" si="18"/>
        <v>0</v>
      </c>
    </row>
    <row r="35" spans="1:43">
      <c r="A35" t="s">
        <v>59</v>
      </c>
      <c r="B35" t="s">
        <v>765</v>
      </c>
      <c r="C35" t="s">
        <v>766</v>
      </c>
      <c r="D35" s="117">
        <v>0</v>
      </c>
      <c r="E35" s="109">
        <v>749</v>
      </c>
      <c r="F35" s="109">
        <v>445</v>
      </c>
      <c r="G35" s="117">
        <v>0.37269681742043553</v>
      </c>
      <c r="H35" s="109" t="e">
        <v>#N/A</v>
      </c>
      <c r="I35" s="109">
        <v>1035</v>
      </c>
      <c r="J35" s="117">
        <v>0.99615014436958615</v>
      </c>
      <c r="K35" s="117" t="e">
        <v>#N/A</v>
      </c>
      <c r="L35" s="109">
        <v>869</v>
      </c>
      <c r="M35" s="109">
        <v>869</v>
      </c>
      <c r="N35" s="109">
        <v>811</v>
      </c>
      <c r="O35" s="109">
        <v>450</v>
      </c>
      <c r="P35" s="109">
        <v>204</v>
      </c>
      <c r="Q35" s="109">
        <v>157</v>
      </c>
      <c r="R35" s="109">
        <v>39</v>
      </c>
      <c r="S35" s="109">
        <v>14</v>
      </c>
      <c r="T35" s="109">
        <v>20</v>
      </c>
      <c r="U35" s="109">
        <v>5</v>
      </c>
      <c r="V35" s="109">
        <v>19</v>
      </c>
      <c r="W35" s="109">
        <v>0</v>
      </c>
      <c r="Y35" s="24">
        <f>(S35+T35)*'space heating'!$C$20</f>
        <v>8.5</v>
      </c>
      <c r="Z35" s="24">
        <f t="shared" si="0"/>
        <v>448.26756496631378</v>
      </c>
      <c r="AA35" s="24">
        <f t="shared" si="1"/>
        <v>203.21462945139558</v>
      </c>
      <c r="AB35" s="24">
        <f t="shared" si="2"/>
        <v>156.39557266602503</v>
      </c>
      <c r="AC35" s="24">
        <f>(Z35+AA35)*'space heating'!$C$22</f>
        <v>651.48219441770937</v>
      </c>
      <c r="AD35" s="24">
        <f>AB35*'space heating'!$C$23</f>
        <v>156.39557266602503</v>
      </c>
      <c r="AE35" s="24">
        <f>(O35+P35-Z35-AA35)*'space heating'!$C$24</f>
        <v>0.94417709335898792</v>
      </c>
      <c r="AF35" s="24">
        <f>(O35+P35-Z35-AA35)*'space heating'!$C$25</f>
        <v>0.94417709335898792</v>
      </c>
      <c r="AG35" s="24">
        <f>(Q35-AB35)*'space heating'!$C$26</f>
        <v>0.30221366698748398</v>
      </c>
      <c r="AH35" s="24">
        <f t="shared" si="3"/>
        <v>652.4263715110684</v>
      </c>
      <c r="AI35" s="24">
        <f t="shared" si="4"/>
        <v>166.14196342637149</v>
      </c>
      <c r="AJ35" s="24">
        <f t="shared" si="13"/>
        <v>652.4263715110684</v>
      </c>
      <c r="AK35" s="24">
        <f t="shared" si="14"/>
        <v>166.14196342637149</v>
      </c>
      <c r="AL35" s="24">
        <f t="shared" si="7"/>
        <v>0</v>
      </c>
      <c r="AM35" s="24">
        <f t="shared" si="8"/>
        <v>0</v>
      </c>
      <c r="AN35" s="24">
        <f t="shared" si="15"/>
        <v>0</v>
      </c>
      <c r="AO35" s="24">
        <f t="shared" si="16"/>
        <v>0</v>
      </c>
      <c r="AP35" s="24">
        <f t="shared" si="17"/>
        <v>0</v>
      </c>
      <c r="AQ35" s="24">
        <f t="shared" si="18"/>
        <v>0</v>
      </c>
    </row>
    <row r="36" spans="1:43">
      <c r="A36" t="s">
        <v>59</v>
      </c>
      <c r="B36" t="s">
        <v>767</v>
      </c>
      <c r="C36" t="s">
        <v>768</v>
      </c>
      <c r="D36" s="117">
        <v>0</v>
      </c>
      <c r="E36" s="109">
        <v>562</v>
      </c>
      <c r="F36" s="109">
        <v>235</v>
      </c>
      <c r="G36" s="117">
        <v>0.29485570890840651</v>
      </c>
      <c r="H36" s="109">
        <v>466</v>
      </c>
      <c r="I36" s="109">
        <v>147</v>
      </c>
      <c r="J36" s="117">
        <v>0.20880681818181818</v>
      </c>
      <c r="K36" s="117">
        <v>0.2065005845785331</v>
      </c>
      <c r="L36" s="109">
        <v>745</v>
      </c>
      <c r="M36" s="109">
        <v>745</v>
      </c>
      <c r="N36" s="109">
        <v>670</v>
      </c>
      <c r="O36" s="109">
        <v>297</v>
      </c>
      <c r="P36" s="109">
        <v>183</v>
      </c>
      <c r="Q36" s="109">
        <v>190</v>
      </c>
      <c r="R36" s="109">
        <v>68</v>
      </c>
      <c r="S36" s="109">
        <v>37</v>
      </c>
      <c r="T36" s="109">
        <v>13</v>
      </c>
      <c r="U36" s="109">
        <v>18</v>
      </c>
      <c r="V36" s="109">
        <v>7</v>
      </c>
      <c r="W36" s="109">
        <v>0</v>
      </c>
      <c r="Y36" s="24">
        <f>(S36+T36)*'space heating'!$C$20</f>
        <v>12.5</v>
      </c>
      <c r="Z36" s="24">
        <f t="shared" si="0"/>
        <v>62.015625</v>
      </c>
      <c r="AA36" s="24">
        <f t="shared" si="1"/>
        <v>38.211647727272727</v>
      </c>
      <c r="AB36" s="24">
        <f t="shared" si="2"/>
        <v>39.673295454545453</v>
      </c>
      <c r="AC36" s="24">
        <f>(Z36+AA36)*'space heating'!$C$22</f>
        <v>100.22727272727272</v>
      </c>
      <c r="AD36" s="24">
        <f>AB36*'space heating'!$C$23</f>
        <v>39.673295454545453</v>
      </c>
      <c r="AE36" s="24">
        <f>(O36+P36-Z36-AA36)*'space heating'!$C$24</f>
        <v>142.41477272727272</v>
      </c>
      <c r="AF36" s="24">
        <f>(O36+P36-Z36-AA36)*'space heating'!$C$25</f>
        <v>142.41477272727272</v>
      </c>
      <c r="AG36" s="24">
        <f>(Q36-AB36)*'space heating'!$C$26</f>
        <v>75.16335227272728</v>
      </c>
      <c r="AH36" s="24">
        <f t="shared" si="3"/>
        <v>242.64204545454544</v>
      </c>
      <c r="AI36" s="24">
        <f t="shared" si="4"/>
        <v>269.7514204545455</v>
      </c>
      <c r="AJ36" s="24">
        <f>IF($A36="South hams",AH36,0)</f>
        <v>242.64204545454544</v>
      </c>
      <c r="AK36" s="24">
        <f>IF($A36="South hams",AI36,0)</f>
        <v>269.7514204545455</v>
      </c>
      <c r="AL36" s="24">
        <f t="shared" si="7"/>
        <v>0</v>
      </c>
      <c r="AM36" s="24">
        <f t="shared" si="8"/>
        <v>0</v>
      </c>
      <c r="AN36" s="24">
        <f>AH36*$D36</f>
        <v>0</v>
      </c>
      <c r="AO36" s="24">
        <f>AI36*$D36</f>
        <v>0</v>
      </c>
      <c r="AP36" s="24">
        <f>IF(AND($A36="teignbridge",$D36&gt;0),AN36,0)</f>
        <v>0</v>
      </c>
      <c r="AQ36" s="24">
        <f>IF(AND($A36="teignbridge",$D36&gt;0),AO36,0)</f>
        <v>0</v>
      </c>
    </row>
    <row r="37" spans="1:43">
      <c r="A37" t="s">
        <v>59</v>
      </c>
      <c r="B37" t="s">
        <v>769</v>
      </c>
      <c r="C37" t="s">
        <v>770</v>
      </c>
      <c r="D37" s="117">
        <v>0</v>
      </c>
      <c r="E37" s="109">
        <v>456</v>
      </c>
      <c r="F37" s="109">
        <v>191</v>
      </c>
      <c r="G37" s="117">
        <v>0.29520865533230295</v>
      </c>
      <c r="H37" s="109" t="e">
        <v>#N/A</v>
      </c>
      <c r="I37" s="109">
        <v>423</v>
      </c>
      <c r="J37" s="117">
        <v>0.63993948562783665</v>
      </c>
      <c r="K37" s="117" t="e">
        <v>#N/A</v>
      </c>
      <c r="L37" s="109">
        <v>597</v>
      </c>
      <c r="M37" s="109">
        <v>594</v>
      </c>
      <c r="N37" s="109">
        <v>564</v>
      </c>
      <c r="O37" s="109">
        <v>302</v>
      </c>
      <c r="P37" s="109">
        <v>141</v>
      </c>
      <c r="Q37" s="109">
        <v>121</v>
      </c>
      <c r="R37" s="109">
        <v>29</v>
      </c>
      <c r="S37" s="109">
        <v>6</v>
      </c>
      <c r="T37" s="109">
        <v>21</v>
      </c>
      <c r="U37" s="109">
        <v>2</v>
      </c>
      <c r="V37" s="109">
        <v>1</v>
      </c>
      <c r="W37" s="109">
        <v>3</v>
      </c>
      <c r="Y37" s="24">
        <f>(S37+T37)*'space heating'!$C$20</f>
        <v>6.75</v>
      </c>
      <c r="Z37" s="24">
        <f t="shared" si="0"/>
        <v>193.26172465960667</v>
      </c>
      <c r="AA37" s="24">
        <f t="shared" si="1"/>
        <v>90.231467473524972</v>
      </c>
      <c r="AB37" s="24">
        <f t="shared" si="2"/>
        <v>77.432677760968232</v>
      </c>
      <c r="AC37" s="24">
        <f>(Z37+AA37)*'space heating'!$C$22</f>
        <v>283.49319213313163</v>
      </c>
      <c r="AD37" s="24">
        <f>AB37*'space heating'!$C$23</f>
        <v>77.432677760968232</v>
      </c>
      <c r="AE37" s="24">
        <f>(O37+P37-Z37-AA37)*'space heating'!$C$24</f>
        <v>59.815052950075639</v>
      </c>
      <c r="AF37" s="24">
        <f>(O37+P37-Z37-AA37)*'space heating'!$C$25</f>
        <v>59.815052950075639</v>
      </c>
      <c r="AG37" s="24">
        <f>(Q37-AB37)*'space heating'!$C$26</f>
        <v>21.783661119515884</v>
      </c>
      <c r="AH37" s="24">
        <f t="shared" si="3"/>
        <v>343.30824508320728</v>
      </c>
      <c r="AI37" s="24">
        <f t="shared" si="4"/>
        <v>165.78139183055976</v>
      </c>
      <c r="AJ37" s="24">
        <f t="shared" ref="AJ37:AJ50" si="19">IF($A37="South hams",AH37,0)</f>
        <v>343.30824508320728</v>
      </c>
      <c r="AK37" s="24">
        <f t="shared" ref="AK37:AK50" si="20">IF($A37="South hams",AI37,0)</f>
        <v>165.78139183055976</v>
      </c>
      <c r="AL37" s="24">
        <f t="shared" si="7"/>
        <v>0</v>
      </c>
      <c r="AM37" s="24">
        <f t="shared" si="8"/>
        <v>0</v>
      </c>
      <c r="AN37" s="24">
        <f t="shared" ref="AN37:AN50" si="21">AH37*$D37</f>
        <v>0</v>
      </c>
      <c r="AO37" s="24">
        <f t="shared" ref="AO37:AO50" si="22">AI37*$D37</f>
        <v>0</v>
      </c>
      <c r="AP37" s="24">
        <f t="shared" ref="AP37:AP50" si="23">IF(AND($A37="teignbridge",$D37&gt;0),AN37,0)</f>
        <v>0</v>
      </c>
      <c r="AQ37" s="24">
        <f t="shared" ref="AQ37:AQ50" si="24">IF(AND($A37="teignbridge",$D37&gt;0),AO37,0)</f>
        <v>0</v>
      </c>
    </row>
    <row r="38" spans="1:43">
      <c r="A38" t="s">
        <v>59</v>
      </c>
      <c r="B38" t="s">
        <v>771</v>
      </c>
      <c r="C38" t="s">
        <v>772</v>
      </c>
      <c r="D38" s="117">
        <v>0</v>
      </c>
      <c r="E38" s="109">
        <v>775</v>
      </c>
      <c r="F38" s="109">
        <v>137</v>
      </c>
      <c r="G38" s="117">
        <v>0.15021929824561403</v>
      </c>
      <c r="H38" s="109">
        <v>707</v>
      </c>
      <c r="I38" s="109">
        <v>224</v>
      </c>
      <c r="J38" s="117">
        <v>0.2505592841163311</v>
      </c>
      <c r="K38" s="117">
        <v>-2.577858236194519E-2</v>
      </c>
      <c r="L38" s="109">
        <v>900</v>
      </c>
      <c r="M38" s="109">
        <v>900</v>
      </c>
      <c r="N38" s="109">
        <v>881</v>
      </c>
      <c r="O38" s="109">
        <v>464</v>
      </c>
      <c r="P38" s="109">
        <v>258</v>
      </c>
      <c r="Q38" s="109">
        <v>159</v>
      </c>
      <c r="R38" s="109">
        <v>18</v>
      </c>
      <c r="S38" s="109">
        <v>10</v>
      </c>
      <c r="T38" s="109">
        <v>6</v>
      </c>
      <c r="U38" s="109">
        <v>2</v>
      </c>
      <c r="V38" s="109">
        <v>1</v>
      </c>
      <c r="W38" s="109">
        <v>0</v>
      </c>
      <c r="Y38" s="24">
        <f>(S38+T38)*'space heating'!$C$20</f>
        <v>4</v>
      </c>
      <c r="Z38" s="24">
        <f t="shared" si="0"/>
        <v>116.25950782997764</v>
      </c>
      <c r="AA38" s="24">
        <f t="shared" si="1"/>
        <v>64.644295302013418</v>
      </c>
      <c r="AB38" s="24">
        <f t="shared" si="2"/>
        <v>39.838926174496649</v>
      </c>
      <c r="AC38" s="24">
        <f>(Z38+AA38)*'space heating'!$C$22</f>
        <v>180.90380313199105</v>
      </c>
      <c r="AD38" s="24">
        <f>AB38*'space heating'!$C$23</f>
        <v>39.838926174496649</v>
      </c>
      <c r="AE38" s="24">
        <f>(O38+P38-Z38-AA38)*'space heating'!$C$24</f>
        <v>202.91107382550331</v>
      </c>
      <c r="AF38" s="24">
        <f>(O38+P38-Z38-AA38)*'space heating'!$C$25</f>
        <v>202.91107382550331</v>
      </c>
      <c r="AG38" s="24">
        <f>(Q38-AB38)*'space heating'!$C$26</f>
        <v>59.580536912751676</v>
      </c>
      <c r="AH38" s="24">
        <f t="shared" si="3"/>
        <v>383.81487695749433</v>
      </c>
      <c r="AI38" s="24">
        <f t="shared" si="4"/>
        <v>306.3305369127516</v>
      </c>
      <c r="AJ38" s="24">
        <f t="shared" si="19"/>
        <v>383.81487695749433</v>
      </c>
      <c r="AK38" s="24">
        <f t="shared" si="20"/>
        <v>306.3305369127516</v>
      </c>
      <c r="AL38" s="24">
        <f t="shared" si="7"/>
        <v>0</v>
      </c>
      <c r="AM38" s="24">
        <f t="shared" si="8"/>
        <v>0</v>
      </c>
      <c r="AN38" s="24">
        <f t="shared" si="21"/>
        <v>0</v>
      </c>
      <c r="AO38" s="24">
        <f t="shared" si="22"/>
        <v>0</v>
      </c>
      <c r="AP38" s="24">
        <f t="shared" si="23"/>
        <v>0</v>
      </c>
      <c r="AQ38" s="24">
        <f t="shared" si="24"/>
        <v>0</v>
      </c>
    </row>
    <row r="39" spans="1:43">
      <c r="A39" t="s">
        <v>59</v>
      </c>
      <c r="B39" t="s">
        <v>773</v>
      </c>
      <c r="C39" t="s">
        <v>774</v>
      </c>
      <c r="D39" s="117">
        <v>0</v>
      </c>
      <c r="E39" s="109">
        <v>776</v>
      </c>
      <c r="F39" s="109">
        <v>297</v>
      </c>
      <c r="G39" s="117">
        <v>0.27679403541472508</v>
      </c>
      <c r="H39" s="109">
        <v>637</v>
      </c>
      <c r="I39" s="109">
        <v>281</v>
      </c>
      <c r="J39" s="117">
        <v>0.28615071283095722</v>
      </c>
      <c r="K39" s="117">
        <v>0.12018665902365605</v>
      </c>
      <c r="L39" s="109">
        <v>853</v>
      </c>
      <c r="M39" s="109">
        <v>853</v>
      </c>
      <c r="N39" s="109">
        <v>773</v>
      </c>
      <c r="O39" s="109">
        <v>492</v>
      </c>
      <c r="P39" s="109">
        <v>173</v>
      </c>
      <c r="Q39" s="109">
        <v>108</v>
      </c>
      <c r="R39" s="109">
        <v>77</v>
      </c>
      <c r="S39" s="109">
        <v>38</v>
      </c>
      <c r="T39" s="109">
        <v>37</v>
      </c>
      <c r="U39" s="109">
        <v>2</v>
      </c>
      <c r="V39" s="109">
        <v>3</v>
      </c>
      <c r="W39" s="109">
        <v>0</v>
      </c>
      <c r="Y39" s="24">
        <f>(S39+T39)*'space heating'!$C$20</f>
        <v>18.75</v>
      </c>
      <c r="Z39" s="24">
        <f t="shared" si="0"/>
        <v>140.78615071283096</v>
      </c>
      <c r="AA39" s="24">
        <f t="shared" si="1"/>
        <v>49.504073319755598</v>
      </c>
      <c r="AB39" s="24">
        <f t="shared" si="2"/>
        <v>30.90427698574338</v>
      </c>
      <c r="AC39" s="24">
        <f>(Z39+AA39)*'space heating'!$C$22</f>
        <v>190.29022403258656</v>
      </c>
      <c r="AD39" s="24">
        <f>AB39*'space heating'!$C$23</f>
        <v>30.90427698574338</v>
      </c>
      <c r="AE39" s="24">
        <f>(O39+P39-Z39-AA39)*'space heating'!$C$24</f>
        <v>178.01616598778006</v>
      </c>
      <c r="AF39" s="24">
        <f>(O39+P39-Z39-AA39)*'space heating'!$C$25</f>
        <v>178.01616598778006</v>
      </c>
      <c r="AG39" s="24">
        <f>(Q39-AB39)*'space heating'!$C$26</f>
        <v>38.54786150712831</v>
      </c>
      <c r="AH39" s="24">
        <f t="shared" si="3"/>
        <v>368.30639002036662</v>
      </c>
      <c r="AI39" s="24">
        <f t="shared" si="4"/>
        <v>266.21830448065174</v>
      </c>
      <c r="AJ39" s="24">
        <f t="shared" si="19"/>
        <v>368.30639002036662</v>
      </c>
      <c r="AK39" s="24">
        <f t="shared" si="20"/>
        <v>266.21830448065174</v>
      </c>
      <c r="AL39" s="24">
        <f t="shared" si="7"/>
        <v>0</v>
      </c>
      <c r="AM39" s="24">
        <f t="shared" si="8"/>
        <v>0</v>
      </c>
      <c r="AN39" s="24">
        <f t="shared" si="21"/>
        <v>0</v>
      </c>
      <c r="AO39" s="24">
        <f t="shared" si="22"/>
        <v>0</v>
      </c>
      <c r="AP39" s="24">
        <f t="shared" si="23"/>
        <v>0</v>
      </c>
      <c r="AQ39" s="24">
        <f t="shared" si="24"/>
        <v>0</v>
      </c>
    </row>
    <row r="40" spans="1:43">
      <c r="A40" t="s">
        <v>59</v>
      </c>
      <c r="B40" t="s">
        <v>775</v>
      </c>
      <c r="C40" t="s">
        <v>776</v>
      </c>
      <c r="D40" s="117">
        <v>0</v>
      </c>
      <c r="E40" s="109">
        <v>506</v>
      </c>
      <c r="F40" s="109">
        <v>145</v>
      </c>
      <c r="G40" s="117">
        <v>0.2227342549923195</v>
      </c>
      <c r="H40" s="109">
        <v>489</v>
      </c>
      <c r="I40" s="109">
        <v>91</v>
      </c>
      <c r="J40" s="117">
        <v>0.14869281045751634</v>
      </c>
      <c r="K40" s="117">
        <v>0.1001551158097648</v>
      </c>
      <c r="L40" s="109">
        <v>594</v>
      </c>
      <c r="M40" s="109">
        <v>594</v>
      </c>
      <c r="N40" s="109">
        <v>583</v>
      </c>
      <c r="O40" s="109">
        <v>351</v>
      </c>
      <c r="P40" s="109">
        <v>185</v>
      </c>
      <c r="Q40" s="109">
        <v>47</v>
      </c>
      <c r="R40" s="109">
        <v>11</v>
      </c>
      <c r="S40" s="109">
        <v>3</v>
      </c>
      <c r="T40" s="109">
        <v>7</v>
      </c>
      <c r="U40" s="109">
        <v>1</v>
      </c>
      <c r="V40" s="109">
        <v>0</v>
      </c>
      <c r="W40" s="109">
        <v>0</v>
      </c>
      <c r="Y40" s="24">
        <f>(S40+T40)*'space heating'!$C$20</f>
        <v>2.5</v>
      </c>
      <c r="Z40" s="24">
        <f t="shared" si="0"/>
        <v>52.191176470588232</v>
      </c>
      <c r="AA40" s="24">
        <f t="shared" si="1"/>
        <v>27.508169934640524</v>
      </c>
      <c r="AB40" s="24">
        <f t="shared" si="2"/>
        <v>6.988562091503268</v>
      </c>
      <c r="AC40" s="24">
        <f>(Z40+AA40)*'space heating'!$C$22</f>
        <v>79.699346405228752</v>
      </c>
      <c r="AD40" s="24">
        <f>AB40*'space heating'!$C$23</f>
        <v>6.988562091503268</v>
      </c>
      <c r="AE40" s="24">
        <f>(O40+P40-Z40-AA40)*'space heating'!$C$24</f>
        <v>171.11274509803923</v>
      </c>
      <c r="AF40" s="24">
        <f>(O40+P40-Z40-AA40)*'space heating'!$C$25</f>
        <v>171.11274509803923</v>
      </c>
      <c r="AG40" s="24">
        <f>(Q40-AB40)*'space heating'!$C$26</f>
        <v>20.005718954248366</v>
      </c>
      <c r="AH40" s="24">
        <f t="shared" si="3"/>
        <v>250.81209150326799</v>
      </c>
      <c r="AI40" s="24">
        <f t="shared" si="4"/>
        <v>200.60702614379085</v>
      </c>
      <c r="AJ40" s="24">
        <f t="shared" si="19"/>
        <v>250.81209150326799</v>
      </c>
      <c r="AK40" s="24">
        <f t="shared" si="20"/>
        <v>200.60702614379085</v>
      </c>
      <c r="AL40" s="24">
        <f t="shared" si="7"/>
        <v>0</v>
      </c>
      <c r="AM40" s="24">
        <f t="shared" si="8"/>
        <v>0</v>
      </c>
      <c r="AN40" s="24">
        <f t="shared" si="21"/>
        <v>0</v>
      </c>
      <c r="AO40" s="24">
        <f t="shared" si="22"/>
        <v>0</v>
      </c>
      <c r="AP40" s="24">
        <f t="shared" si="23"/>
        <v>0</v>
      </c>
      <c r="AQ40" s="24">
        <f t="shared" si="24"/>
        <v>0</v>
      </c>
    </row>
    <row r="41" spans="1:43">
      <c r="A41" t="s">
        <v>59</v>
      </c>
      <c r="B41" t="s">
        <v>777</v>
      </c>
      <c r="C41" t="s">
        <v>778</v>
      </c>
      <c r="D41" s="117">
        <v>0</v>
      </c>
      <c r="E41" s="109">
        <v>735</v>
      </c>
      <c r="F41" s="109">
        <v>148</v>
      </c>
      <c r="G41" s="117">
        <v>0.16761041902604756</v>
      </c>
      <c r="H41" s="109">
        <v>487</v>
      </c>
      <c r="I41" s="109">
        <v>132</v>
      </c>
      <c r="J41" s="117">
        <v>0.19158200290275762</v>
      </c>
      <c r="K41" s="117">
        <v>0.25688911827504535</v>
      </c>
      <c r="L41" s="109">
        <v>691</v>
      </c>
      <c r="M41" s="109">
        <v>691</v>
      </c>
      <c r="N41" s="109">
        <v>674</v>
      </c>
      <c r="O41" s="109">
        <v>525</v>
      </c>
      <c r="P41" s="109">
        <v>91</v>
      </c>
      <c r="Q41" s="109">
        <v>58</v>
      </c>
      <c r="R41" s="109">
        <v>14</v>
      </c>
      <c r="S41" s="109">
        <v>5</v>
      </c>
      <c r="T41" s="109">
        <v>6</v>
      </c>
      <c r="U41" s="109">
        <v>3</v>
      </c>
      <c r="V41" s="109">
        <v>3</v>
      </c>
      <c r="W41" s="109">
        <v>0</v>
      </c>
      <c r="Y41" s="24">
        <f>(S41+T41)*'space heating'!$C$20</f>
        <v>2.75</v>
      </c>
      <c r="Z41" s="24">
        <f t="shared" si="0"/>
        <v>100.58055152394775</v>
      </c>
      <c r="AA41" s="24">
        <f t="shared" si="1"/>
        <v>17.433962264150942</v>
      </c>
      <c r="AB41" s="24">
        <f t="shared" si="2"/>
        <v>11.111756168359943</v>
      </c>
      <c r="AC41" s="24">
        <f>(Z41+AA41)*'space heating'!$C$22</f>
        <v>118.0145137880987</v>
      </c>
      <c r="AD41" s="24">
        <f>AB41*'space heating'!$C$23</f>
        <v>11.111756168359943</v>
      </c>
      <c r="AE41" s="24">
        <f>(O41+P41-Z41-AA41)*'space heating'!$C$24</f>
        <v>186.74455732946299</v>
      </c>
      <c r="AF41" s="24">
        <f>(O41+P41-Z41-AA41)*'space heating'!$C$25</f>
        <v>186.74455732946299</v>
      </c>
      <c r="AG41" s="24">
        <f>(Q41-AB41)*'space heating'!$C$26</f>
        <v>23.444121915820027</v>
      </c>
      <c r="AH41" s="24">
        <f t="shared" si="3"/>
        <v>304.75907111756169</v>
      </c>
      <c r="AI41" s="24">
        <f t="shared" si="4"/>
        <v>224.05043541364296</v>
      </c>
      <c r="AJ41" s="24">
        <f t="shared" si="19"/>
        <v>304.75907111756169</v>
      </c>
      <c r="AK41" s="24">
        <f t="shared" si="20"/>
        <v>224.05043541364296</v>
      </c>
      <c r="AL41" s="24">
        <f t="shared" si="7"/>
        <v>0</v>
      </c>
      <c r="AM41" s="24">
        <f t="shared" si="8"/>
        <v>0</v>
      </c>
      <c r="AN41" s="24">
        <f t="shared" si="21"/>
        <v>0</v>
      </c>
      <c r="AO41" s="24">
        <f t="shared" si="22"/>
        <v>0</v>
      </c>
      <c r="AP41" s="24">
        <f t="shared" si="23"/>
        <v>0</v>
      </c>
      <c r="AQ41" s="24">
        <f t="shared" si="24"/>
        <v>0</v>
      </c>
    </row>
    <row r="42" spans="1:43">
      <c r="A42" t="s">
        <v>59</v>
      </c>
      <c r="B42" t="s">
        <v>779</v>
      </c>
      <c r="C42" t="s">
        <v>780</v>
      </c>
      <c r="D42" s="117">
        <v>0</v>
      </c>
      <c r="E42" s="109">
        <v>533</v>
      </c>
      <c r="F42" s="109">
        <v>96</v>
      </c>
      <c r="G42" s="117">
        <v>0.15262321144674085</v>
      </c>
      <c r="H42" s="109">
        <v>577</v>
      </c>
      <c r="I42" s="109">
        <v>107</v>
      </c>
      <c r="J42" s="117">
        <v>0.19073083778966132</v>
      </c>
      <c r="K42" s="117">
        <v>-0.10805993158934341</v>
      </c>
      <c r="L42" s="109">
        <v>736</v>
      </c>
      <c r="M42" s="109">
        <v>736</v>
      </c>
      <c r="N42" s="109">
        <v>637</v>
      </c>
      <c r="O42" s="109">
        <v>259</v>
      </c>
      <c r="P42" s="109">
        <v>219</v>
      </c>
      <c r="Q42" s="109">
        <v>159</v>
      </c>
      <c r="R42" s="109">
        <v>98</v>
      </c>
      <c r="S42" s="109">
        <v>83</v>
      </c>
      <c r="T42" s="109">
        <v>13</v>
      </c>
      <c r="U42" s="109">
        <v>2</v>
      </c>
      <c r="V42" s="109">
        <v>1</v>
      </c>
      <c r="W42" s="109">
        <v>0</v>
      </c>
      <c r="Y42" s="24">
        <f>(S42+T42)*'space heating'!$C$20</f>
        <v>24</v>
      </c>
      <c r="Z42" s="24">
        <f t="shared" si="0"/>
        <v>49.399286987522281</v>
      </c>
      <c r="AA42" s="24">
        <f t="shared" si="1"/>
        <v>41.770053475935832</v>
      </c>
      <c r="AB42" s="24">
        <f t="shared" si="2"/>
        <v>30.326203208556151</v>
      </c>
      <c r="AC42" s="24">
        <f>(Z42+AA42)*'space heating'!$C$22</f>
        <v>91.169340463458113</v>
      </c>
      <c r="AD42" s="24">
        <f>AB42*'space heating'!$C$23</f>
        <v>30.326203208556151</v>
      </c>
      <c r="AE42" s="24">
        <f>(O42+P42-Z42-AA42)*'space heating'!$C$24</f>
        <v>145.06149732620321</v>
      </c>
      <c r="AF42" s="24">
        <f>(O42+P42-Z42-AA42)*'space heating'!$C$25</f>
        <v>145.06149732620321</v>
      </c>
      <c r="AG42" s="24">
        <f>(Q42-AB42)*'space heating'!$C$26</f>
        <v>64.336898395721931</v>
      </c>
      <c r="AH42" s="24">
        <f t="shared" si="3"/>
        <v>236.23083778966134</v>
      </c>
      <c r="AI42" s="24">
        <f t="shared" si="4"/>
        <v>263.72459893048131</v>
      </c>
      <c r="AJ42" s="24">
        <f t="shared" si="19"/>
        <v>236.23083778966134</v>
      </c>
      <c r="AK42" s="24">
        <f t="shared" si="20"/>
        <v>263.72459893048131</v>
      </c>
      <c r="AL42" s="24">
        <f t="shared" si="7"/>
        <v>0</v>
      </c>
      <c r="AM42" s="24">
        <f t="shared" si="8"/>
        <v>0</v>
      </c>
      <c r="AN42" s="24">
        <f t="shared" si="21"/>
        <v>0</v>
      </c>
      <c r="AO42" s="24">
        <f t="shared" si="22"/>
        <v>0</v>
      </c>
      <c r="AP42" s="24">
        <f t="shared" si="23"/>
        <v>0</v>
      </c>
      <c r="AQ42" s="24">
        <f t="shared" si="24"/>
        <v>0</v>
      </c>
    </row>
    <row r="43" spans="1:43">
      <c r="A43" t="s">
        <v>59</v>
      </c>
      <c r="B43" t="s">
        <v>781</v>
      </c>
      <c r="C43" t="s">
        <v>782</v>
      </c>
      <c r="D43" s="117">
        <v>0</v>
      </c>
      <c r="E43" s="109">
        <v>729</v>
      </c>
      <c r="F43" s="109">
        <v>328</v>
      </c>
      <c r="G43" s="117">
        <v>0.31031220435193946</v>
      </c>
      <c r="H43" s="109">
        <v>699</v>
      </c>
      <c r="I43" s="109">
        <v>132</v>
      </c>
      <c r="J43" s="117">
        <v>0.13226452905811623</v>
      </c>
      <c r="K43" s="117">
        <v>0.20642988910650065</v>
      </c>
      <c r="L43" s="109">
        <v>924</v>
      </c>
      <c r="M43" s="109">
        <v>924</v>
      </c>
      <c r="N43" s="109">
        <v>746</v>
      </c>
      <c r="O43" s="109">
        <v>329</v>
      </c>
      <c r="P43" s="109">
        <v>274</v>
      </c>
      <c r="Q43" s="109">
        <v>143</v>
      </c>
      <c r="R43" s="109">
        <v>178</v>
      </c>
      <c r="S43" s="109">
        <v>154</v>
      </c>
      <c r="T43" s="109">
        <v>22</v>
      </c>
      <c r="U43" s="109">
        <v>2</v>
      </c>
      <c r="V43" s="109">
        <v>0</v>
      </c>
      <c r="W43" s="109">
        <v>0</v>
      </c>
      <c r="Y43" s="24">
        <f>(S43+T43)*'space heating'!$C$20</f>
        <v>44</v>
      </c>
      <c r="Z43" s="24">
        <f t="shared" si="0"/>
        <v>43.515030060120239</v>
      </c>
      <c r="AA43" s="24">
        <f t="shared" si="1"/>
        <v>36.240480961923843</v>
      </c>
      <c r="AB43" s="24">
        <f t="shared" si="2"/>
        <v>18.913827655310619</v>
      </c>
      <c r="AC43" s="24">
        <f>(Z43+AA43)*'space heating'!$C$22</f>
        <v>79.755511022044089</v>
      </c>
      <c r="AD43" s="24">
        <f>AB43*'space heating'!$C$23</f>
        <v>18.913827655310619</v>
      </c>
      <c r="AE43" s="24">
        <f>(O43+P43-Z43-AA43)*'space heating'!$C$24</f>
        <v>196.21668336673349</v>
      </c>
      <c r="AF43" s="24">
        <f>(O43+P43-Z43-AA43)*'space heating'!$C$25</f>
        <v>196.21668336673349</v>
      </c>
      <c r="AG43" s="24">
        <f>(Q43-AB43)*'space heating'!$C$26</f>
        <v>62.043086172344687</v>
      </c>
      <c r="AH43" s="24">
        <f t="shared" si="3"/>
        <v>275.97219438877755</v>
      </c>
      <c r="AI43" s="24">
        <f t="shared" si="4"/>
        <v>321.17359719438878</v>
      </c>
      <c r="AJ43" s="24">
        <f t="shared" si="19"/>
        <v>275.97219438877755</v>
      </c>
      <c r="AK43" s="24">
        <f t="shared" si="20"/>
        <v>321.17359719438878</v>
      </c>
      <c r="AL43" s="24">
        <f t="shared" si="7"/>
        <v>0</v>
      </c>
      <c r="AM43" s="24">
        <f t="shared" si="8"/>
        <v>0</v>
      </c>
      <c r="AN43" s="24">
        <f t="shared" si="21"/>
        <v>0</v>
      </c>
      <c r="AO43" s="24">
        <f t="shared" si="22"/>
        <v>0</v>
      </c>
      <c r="AP43" s="24">
        <f t="shared" si="23"/>
        <v>0</v>
      </c>
      <c r="AQ43" s="24">
        <f t="shared" si="24"/>
        <v>0</v>
      </c>
    </row>
    <row r="44" spans="1:43">
      <c r="A44" t="s">
        <v>59</v>
      </c>
      <c r="B44" t="s">
        <v>783</v>
      </c>
      <c r="C44" t="s">
        <v>784</v>
      </c>
      <c r="D44" s="117">
        <v>0</v>
      </c>
      <c r="E44" s="109">
        <v>947</v>
      </c>
      <c r="F44" s="109">
        <v>298</v>
      </c>
      <c r="G44" s="117">
        <v>0.2393574297188755</v>
      </c>
      <c r="H44" s="109">
        <v>1041</v>
      </c>
      <c r="I44" s="109">
        <v>120</v>
      </c>
      <c r="J44" s="117">
        <v>0.10830324909747292</v>
      </c>
      <c r="K44" s="117">
        <v>5.5552172589274015E-2</v>
      </c>
      <c r="L44" s="109">
        <v>1067</v>
      </c>
      <c r="M44" s="109">
        <v>1067</v>
      </c>
      <c r="N44" s="109">
        <v>804</v>
      </c>
      <c r="O44" s="109">
        <v>253</v>
      </c>
      <c r="P44" s="109">
        <v>174</v>
      </c>
      <c r="Q44" s="109">
        <v>377</v>
      </c>
      <c r="R44" s="109">
        <v>263</v>
      </c>
      <c r="S44" s="109">
        <v>146</v>
      </c>
      <c r="T44" s="109">
        <v>56</v>
      </c>
      <c r="U44" s="109">
        <v>61</v>
      </c>
      <c r="V44" s="109">
        <v>0</v>
      </c>
      <c r="W44" s="109">
        <v>0</v>
      </c>
      <c r="Y44" s="24">
        <f>(S44+T44)*'space heating'!$C$20</f>
        <v>50.5</v>
      </c>
      <c r="Z44" s="24">
        <f t="shared" si="0"/>
        <v>27.400722021660648</v>
      </c>
      <c r="AA44" s="24">
        <f t="shared" si="1"/>
        <v>18.84476534296029</v>
      </c>
      <c r="AB44" s="24">
        <f t="shared" si="2"/>
        <v>40.83032490974729</v>
      </c>
      <c r="AC44" s="24">
        <f>(Z44+AA44)*'space heating'!$C$22</f>
        <v>46.245487364620942</v>
      </c>
      <c r="AD44" s="24">
        <f>AB44*'space heating'!$C$23</f>
        <v>40.83032490974729</v>
      </c>
      <c r="AE44" s="24">
        <f>(O44+P44-Z44-AA44)*'space heating'!$C$24</f>
        <v>142.78294223826714</v>
      </c>
      <c r="AF44" s="24">
        <f>(O44+P44-Z44-AA44)*'space heating'!$C$25</f>
        <v>142.78294223826714</v>
      </c>
      <c r="AG44" s="24">
        <f>(Q44-AB44)*'space heating'!$C$26</f>
        <v>168.08483754512636</v>
      </c>
      <c r="AH44" s="24">
        <f t="shared" si="3"/>
        <v>189.02842960288808</v>
      </c>
      <c r="AI44" s="24">
        <f t="shared" si="4"/>
        <v>402.19810469314075</v>
      </c>
      <c r="AJ44" s="24">
        <f t="shared" si="19"/>
        <v>189.02842960288808</v>
      </c>
      <c r="AK44" s="24">
        <f t="shared" si="20"/>
        <v>402.19810469314075</v>
      </c>
      <c r="AL44" s="24">
        <f t="shared" si="7"/>
        <v>0</v>
      </c>
      <c r="AM44" s="24">
        <f t="shared" si="8"/>
        <v>0</v>
      </c>
      <c r="AN44" s="24">
        <f t="shared" si="21"/>
        <v>0</v>
      </c>
      <c r="AO44" s="24">
        <f t="shared" si="22"/>
        <v>0</v>
      </c>
      <c r="AP44" s="24">
        <f t="shared" si="23"/>
        <v>0</v>
      </c>
      <c r="AQ44" s="24">
        <f t="shared" si="24"/>
        <v>0</v>
      </c>
    </row>
    <row r="45" spans="1:43">
      <c r="A45" t="s">
        <v>59</v>
      </c>
      <c r="B45" t="s">
        <v>785</v>
      </c>
      <c r="C45" t="s">
        <v>786</v>
      </c>
      <c r="D45" s="117">
        <v>0</v>
      </c>
      <c r="E45" s="109">
        <v>843</v>
      </c>
      <c r="F45" s="109">
        <v>207</v>
      </c>
      <c r="G45" s="117">
        <v>0.19714285714285715</v>
      </c>
      <c r="H45" s="109">
        <v>733</v>
      </c>
      <c r="I45" s="109">
        <v>162</v>
      </c>
      <c r="J45" s="117">
        <v>0.16071428571428573</v>
      </c>
      <c r="K45" s="117">
        <v>0.14119047619047617</v>
      </c>
      <c r="L45" s="109">
        <v>989</v>
      </c>
      <c r="M45" s="109">
        <v>989</v>
      </c>
      <c r="N45" s="109">
        <v>678</v>
      </c>
      <c r="O45" s="109">
        <v>194</v>
      </c>
      <c r="P45" s="109">
        <v>244</v>
      </c>
      <c r="Q45" s="109">
        <v>240</v>
      </c>
      <c r="R45" s="109">
        <v>311</v>
      </c>
      <c r="S45" s="109">
        <v>284</v>
      </c>
      <c r="T45" s="109">
        <v>27</v>
      </c>
      <c r="U45" s="109">
        <v>0</v>
      </c>
      <c r="V45" s="109">
        <v>0</v>
      </c>
      <c r="W45" s="109">
        <v>0</v>
      </c>
      <c r="Y45" s="24">
        <f>(S45+T45)*'space heating'!$C$20</f>
        <v>77.75</v>
      </c>
      <c r="Z45" s="24">
        <f t="shared" si="0"/>
        <v>31.178571428571431</v>
      </c>
      <c r="AA45" s="24">
        <f t="shared" si="1"/>
        <v>39.214285714285715</v>
      </c>
      <c r="AB45" s="24">
        <f t="shared" si="2"/>
        <v>38.571428571428577</v>
      </c>
      <c r="AC45" s="24">
        <f>(Z45+AA45)*'space heating'!$C$22</f>
        <v>70.392857142857139</v>
      </c>
      <c r="AD45" s="24">
        <f>AB45*'space heating'!$C$23</f>
        <v>38.571428571428577</v>
      </c>
      <c r="AE45" s="24">
        <f>(O45+P45-Z45-AA45)*'space heating'!$C$24</f>
        <v>137.85267857142856</v>
      </c>
      <c r="AF45" s="24">
        <f>(O45+P45-Z45-AA45)*'space heating'!$C$25</f>
        <v>137.85267857142856</v>
      </c>
      <c r="AG45" s="24">
        <f>(Q45-AB45)*'space heating'!$C$26</f>
        <v>100.71428571428571</v>
      </c>
      <c r="AH45" s="24">
        <f t="shared" si="3"/>
        <v>208.24553571428569</v>
      </c>
      <c r="AI45" s="24">
        <f t="shared" si="4"/>
        <v>354.88839285714283</v>
      </c>
      <c r="AJ45" s="24">
        <f t="shared" si="19"/>
        <v>208.24553571428569</v>
      </c>
      <c r="AK45" s="24">
        <f t="shared" si="20"/>
        <v>354.88839285714283</v>
      </c>
      <c r="AL45" s="24">
        <f t="shared" si="7"/>
        <v>0</v>
      </c>
      <c r="AM45" s="24">
        <f t="shared" si="8"/>
        <v>0</v>
      </c>
      <c r="AN45" s="24">
        <f t="shared" si="21"/>
        <v>0</v>
      </c>
      <c r="AO45" s="24">
        <f t="shared" si="22"/>
        <v>0</v>
      </c>
      <c r="AP45" s="24">
        <f t="shared" si="23"/>
        <v>0</v>
      </c>
      <c r="AQ45" s="24">
        <f t="shared" si="24"/>
        <v>0</v>
      </c>
    </row>
    <row r="46" spans="1:43">
      <c r="A46" t="s">
        <v>59</v>
      </c>
      <c r="B46" t="s">
        <v>787</v>
      </c>
      <c r="C46" t="s">
        <v>788</v>
      </c>
      <c r="D46" s="117">
        <v>0</v>
      </c>
      <c r="E46" s="109">
        <v>617</v>
      </c>
      <c r="F46" s="109">
        <v>454</v>
      </c>
      <c r="G46" s="117">
        <v>0.42390289449112978</v>
      </c>
      <c r="H46" s="109" t="e">
        <v>#N/A</v>
      </c>
      <c r="I46" s="109">
        <v>917</v>
      </c>
      <c r="J46" s="117">
        <v>1</v>
      </c>
      <c r="K46" s="117" t="e">
        <v>#N/A</v>
      </c>
      <c r="L46" s="109">
        <v>724</v>
      </c>
      <c r="M46" s="109">
        <v>724</v>
      </c>
      <c r="N46" s="109">
        <v>677</v>
      </c>
      <c r="O46" s="109">
        <v>365</v>
      </c>
      <c r="P46" s="109">
        <v>207</v>
      </c>
      <c r="Q46" s="109">
        <v>105</v>
      </c>
      <c r="R46" s="109">
        <v>45</v>
      </c>
      <c r="S46" s="109">
        <v>26</v>
      </c>
      <c r="T46" s="109">
        <v>14</v>
      </c>
      <c r="U46" s="109">
        <v>5</v>
      </c>
      <c r="V46" s="109">
        <v>2</v>
      </c>
      <c r="W46" s="109">
        <v>0</v>
      </c>
      <c r="Y46" s="24">
        <f>(S46+T46)*'space heating'!$C$20</f>
        <v>10</v>
      </c>
      <c r="Z46" s="24">
        <f t="shared" si="0"/>
        <v>365</v>
      </c>
      <c r="AA46" s="24">
        <f t="shared" si="1"/>
        <v>207</v>
      </c>
      <c r="AB46" s="24">
        <f t="shared" si="2"/>
        <v>105</v>
      </c>
      <c r="AC46" s="24">
        <f>(Z46+AA46)*'space heating'!$C$22</f>
        <v>572</v>
      </c>
      <c r="AD46" s="24">
        <f>AB46*'space heating'!$C$23</f>
        <v>105</v>
      </c>
      <c r="AE46" s="24">
        <f>(O46+P46-Z46-AA46)*'space heating'!$C$24</f>
        <v>0</v>
      </c>
      <c r="AF46" s="24">
        <f>(O46+P46-Z46-AA46)*'space heating'!$C$25</f>
        <v>0</v>
      </c>
      <c r="AG46" s="24">
        <f>(Q46-AB46)*'space heating'!$C$26</f>
        <v>0</v>
      </c>
      <c r="AH46" s="24">
        <f t="shared" si="3"/>
        <v>572</v>
      </c>
      <c r="AI46" s="24">
        <f t="shared" si="4"/>
        <v>115</v>
      </c>
      <c r="AJ46" s="24">
        <f t="shared" si="19"/>
        <v>572</v>
      </c>
      <c r="AK46" s="24">
        <f t="shared" si="20"/>
        <v>115</v>
      </c>
      <c r="AL46" s="24">
        <f t="shared" si="7"/>
        <v>0</v>
      </c>
      <c r="AM46" s="24">
        <f t="shared" si="8"/>
        <v>0</v>
      </c>
      <c r="AN46" s="24">
        <f t="shared" si="21"/>
        <v>0</v>
      </c>
      <c r="AO46" s="24">
        <f t="shared" si="22"/>
        <v>0</v>
      </c>
      <c r="AP46" s="24">
        <f t="shared" si="23"/>
        <v>0</v>
      </c>
      <c r="AQ46" s="24">
        <f t="shared" si="24"/>
        <v>0</v>
      </c>
    </row>
    <row r="47" spans="1:43">
      <c r="A47" t="s">
        <v>59</v>
      </c>
      <c r="B47" t="s">
        <v>789</v>
      </c>
      <c r="C47" t="s">
        <v>790</v>
      </c>
      <c r="D47" s="117">
        <v>0</v>
      </c>
      <c r="E47" s="109">
        <v>723</v>
      </c>
      <c r="F47" s="109">
        <v>430</v>
      </c>
      <c r="G47" s="117">
        <v>0.37294015611448394</v>
      </c>
      <c r="H47" s="109" t="e">
        <v>#N/A</v>
      </c>
      <c r="I47" s="109">
        <v>1043</v>
      </c>
      <c r="J47" s="117">
        <v>0.9895635673624289</v>
      </c>
      <c r="K47" s="117" t="e">
        <v>#N/A</v>
      </c>
      <c r="L47" s="109">
        <v>926</v>
      </c>
      <c r="M47" s="109">
        <v>926</v>
      </c>
      <c r="N47" s="109">
        <v>846</v>
      </c>
      <c r="O47" s="109">
        <v>535</v>
      </c>
      <c r="P47" s="109">
        <v>227</v>
      </c>
      <c r="Q47" s="109">
        <v>84</v>
      </c>
      <c r="R47" s="109">
        <v>41</v>
      </c>
      <c r="S47" s="109">
        <v>15</v>
      </c>
      <c r="T47" s="109">
        <v>22</v>
      </c>
      <c r="U47" s="109">
        <v>4</v>
      </c>
      <c r="V47" s="109">
        <v>39</v>
      </c>
      <c r="W47" s="109">
        <v>0</v>
      </c>
      <c r="Y47" s="24">
        <f>(S47+T47)*'space heating'!$C$20</f>
        <v>9.25</v>
      </c>
      <c r="Z47" s="24">
        <f t="shared" si="0"/>
        <v>529.41650853889951</v>
      </c>
      <c r="AA47" s="24">
        <f t="shared" si="1"/>
        <v>224.63092979127137</v>
      </c>
      <c r="AB47" s="24">
        <f t="shared" si="2"/>
        <v>83.123339658444024</v>
      </c>
      <c r="AC47" s="24">
        <f>(Z47+AA47)*'space heating'!$C$22</f>
        <v>754.04743833017085</v>
      </c>
      <c r="AD47" s="24">
        <f>AB47*'space heating'!$C$23</f>
        <v>83.123339658444024</v>
      </c>
      <c r="AE47" s="24">
        <f>(O47+P47-Z47-AA47)*'space heating'!$C$24</f>
        <v>2.9822106261859211</v>
      </c>
      <c r="AF47" s="24">
        <f>(O47+P47-Z47-AA47)*'space heating'!$C$25</f>
        <v>2.9822106261859211</v>
      </c>
      <c r="AG47" s="24">
        <f>(Q47-AB47)*'space heating'!$C$26</f>
        <v>0.43833017077798786</v>
      </c>
      <c r="AH47" s="24">
        <f t="shared" si="3"/>
        <v>757.02964895635682</v>
      </c>
      <c r="AI47" s="24">
        <f t="shared" si="4"/>
        <v>95.79388045540793</v>
      </c>
      <c r="AJ47" s="24">
        <f t="shared" si="19"/>
        <v>757.02964895635682</v>
      </c>
      <c r="AK47" s="24">
        <f t="shared" si="20"/>
        <v>95.79388045540793</v>
      </c>
      <c r="AL47" s="24">
        <f t="shared" si="7"/>
        <v>0</v>
      </c>
      <c r="AM47" s="24">
        <f t="shared" si="8"/>
        <v>0</v>
      </c>
      <c r="AN47" s="24">
        <f t="shared" si="21"/>
        <v>0</v>
      </c>
      <c r="AO47" s="24">
        <f t="shared" si="22"/>
        <v>0</v>
      </c>
      <c r="AP47" s="24">
        <f t="shared" si="23"/>
        <v>0</v>
      </c>
      <c r="AQ47" s="24">
        <f t="shared" si="24"/>
        <v>0</v>
      </c>
    </row>
    <row r="48" spans="1:43">
      <c r="A48" t="s">
        <v>59</v>
      </c>
      <c r="B48" t="s">
        <v>791</v>
      </c>
      <c r="C48" t="s">
        <v>792</v>
      </c>
      <c r="D48" s="117">
        <v>0</v>
      </c>
      <c r="E48" s="109">
        <v>707</v>
      </c>
      <c r="F48" s="109">
        <v>502</v>
      </c>
      <c r="G48" s="117">
        <v>0.41521918941273778</v>
      </c>
      <c r="H48" s="109" t="e">
        <v>#N/A</v>
      </c>
      <c r="I48" s="109">
        <v>1061</v>
      </c>
      <c r="J48" s="117">
        <v>0.97788018433179724</v>
      </c>
      <c r="K48" s="117" t="e">
        <v>#N/A</v>
      </c>
      <c r="L48" s="109">
        <v>900</v>
      </c>
      <c r="M48" s="109">
        <v>900</v>
      </c>
      <c r="N48" s="109">
        <v>860</v>
      </c>
      <c r="O48" s="109">
        <v>550</v>
      </c>
      <c r="P48" s="109">
        <v>211</v>
      </c>
      <c r="Q48" s="109">
        <v>99</v>
      </c>
      <c r="R48" s="109">
        <v>36</v>
      </c>
      <c r="S48" s="109">
        <v>7</v>
      </c>
      <c r="T48" s="109">
        <v>21</v>
      </c>
      <c r="U48" s="109">
        <v>8</v>
      </c>
      <c r="V48" s="109">
        <v>4</v>
      </c>
      <c r="W48" s="109">
        <v>0</v>
      </c>
      <c r="Y48" s="24">
        <f>(S48+T48)*'space heating'!$C$20</f>
        <v>7</v>
      </c>
      <c r="Z48" s="24">
        <f t="shared" si="0"/>
        <v>537.83410138248848</v>
      </c>
      <c r="AA48" s="24">
        <f t="shared" si="1"/>
        <v>206.33271889400922</v>
      </c>
      <c r="AB48" s="24">
        <f t="shared" si="2"/>
        <v>96.81013824884792</v>
      </c>
      <c r="AC48" s="24">
        <f>(Z48+AA48)*'space heating'!$C$22</f>
        <v>744.16682027649767</v>
      </c>
      <c r="AD48" s="24">
        <f>AB48*'space heating'!$C$23</f>
        <v>96.81013824884792</v>
      </c>
      <c r="AE48" s="24">
        <f>(O48+P48-Z48-AA48)*'space heating'!$C$24</f>
        <v>6.3124423963133616</v>
      </c>
      <c r="AF48" s="24">
        <f>(O48+P48-Z48-AA48)*'space heating'!$C$25</f>
        <v>6.3124423963133616</v>
      </c>
      <c r="AG48" s="24">
        <f>(Q48-AB48)*'space heating'!$C$26</f>
        <v>1.0949308755760399</v>
      </c>
      <c r="AH48" s="24">
        <f t="shared" si="3"/>
        <v>750.47926267281105</v>
      </c>
      <c r="AI48" s="24">
        <f t="shared" si="4"/>
        <v>111.21751152073732</v>
      </c>
      <c r="AJ48" s="24">
        <f t="shared" si="19"/>
        <v>750.47926267281105</v>
      </c>
      <c r="AK48" s="24">
        <f t="shared" si="20"/>
        <v>111.21751152073732</v>
      </c>
      <c r="AL48" s="24">
        <f t="shared" si="7"/>
        <v>0</v>
      </c>
      <c r="AM48" s="24">
        <f t="shared" si="8"/>
        <v>0</v>
      </c>
      <c r="AN48" s="24">
        <f t="shared" si="21"/>
        <v>0</v>
      </c>
      <c r="AO48" s="24">
        <f t="shared" si="22"/>
        <v>0</v>
      </c>
      <c r="AP48" s="24">
        <f t="shared" si="23"/>
        <v>0</v>
      </c>
      <c r="AQ48" s="24">
        <f t="shared" si="24"/>
        <v>0</v>
      </c>
    </row>
    <row r="49" spans="1:43">
      <c r="A49" t="s">
        <v>59</v>
      </c>
      <c r="B49" t="s">
        <v>793</v>
      </c>
      <c r="C49" t="s">
        <v>794</v>
      </c>
      <c r="D49" s="117">
        <v>0</v>
      </c>
      <c r="E49" s="109">
        <v>999</v>
      </c>
      <c r="F49" s="109">
        <v>514</v>
      </c>
      <c r="G49" s="117">
        <v>0.33972240581625907</v>
      </c>
      <c r="H49" s="109">
        <v>393</v>
      </c>
      <c r="I49" s="109">
        <v>716</v>
      </c>
      <c r="J49" s="117">
        <v>0.57975708502024292</v>
      </c>
      <c r="K49" s="117">
        <v>0.16049407162218932</v>
      </c>
      <c r="L49" s="109">
        <v>855</v>
      </c>
      <c r="M49" s="109">
        <v>855</v>
      </c>
      <c r="N49" s="109">
        <v>795</v>
      </c>
      <c r="O49" s="109">
        <v>405</v>
      </c>
      <c r="P49" s="109">
        <v>185</v>
      </c>
      <c r="Q49" s="109">
        <v>205</v>
      </c>
      <c r="R49" s="109">
        <v>58</v>
      </c>
      <c r="S49" s="109">
        <v>26</v>
      </c>
      <c r="T49" s="109">
        <v>29</v>
      </c>
      <c r="U49" s="109">
        <v>3</v>
      </c>
      <c r="V49" s="109">
        <v>2</v>
      </c>
      <c r="W49" s="109">
        <v>0</v>
      </c>
      <c r="Y49" s="24">
        <f>(S49+T49)*'space heating'!$C$20</f>
        <v>13.75</v>
      </c>
      <c r="Z49" s="24">
        <f t="shared" si="0"/>
        <v>234.8016194331984</v>
      </c>
      <c r="AA49" s="24">
        <f t="shared" si="1"/>
        <v>107.25506072874494</v>
      </c>
      <c r="AB49" s="24">
        <f t="shared" si="2"/>
        <v>118.8502024291498</v>
      </c>
      <c r="AC49" s="24">
        <f>(Z49+AA49)*'space heating'!$C$22</f>
        <v>342.05668016194335</v>
      </c>
      <c r="AD49" s="24">
        <f>AB49*'space heating'!$C$23</f>
        <v>118.8502024291498</v>
      </c>
      <c r="AE49" s="24">
        <f>(O49+P49-Z49-AA49)*'space heating'!$C$24</f>
        <v>92.978744939271252</v>
      </c>
      <c r="AF49" s="24">
        <f>(O49+P49-Z49-AA49)*'space heating'!$C$25</f>
        <v>92.978744939271252</v>
      </c>
      <c r="AG49" s="24">
        <f>(Q49-AB49)*'space heating'!$C$26</f>
        <v>43.074898785425098</v>
      </c>
      <c r="AH49" s="24">
        <f t="shared" si="3"/>
        <v>435.03542510121463</v>
      </c>
      <c r="AI49" s="24">
        <f t="shared" si="4"/>
        <v>268.65384615384619</v>
      </c>
      <c r="AJ49" s="24">
        <f t="shared" si="19"/>
        <v>435.03542510121463</v>
      </c>
      <c r="AK49" s="24">
        <f t="shared" si="20"/>
        <v>268.65384615384619</v>
      </c>
      <c r="AL49" s="24">
        <f t="shared" si="7"/>
        <v>0</v>
      </c>
      <c r="AM49" s="24">
        <f t="shared" si="8"/>
        <v>0</v>
      </c>
      <c r="AN49" s="24">
        <f t="shared" si="21"/>
        <v>0</v>
      </c>
      <c r="AO49" s="24">
        <f t="shared" si="22"/>
        <v>0</v>
      </c>
      <c r="AP49" s="24">
        <f t="shared" si="23"/>
        <v>0</v>
      </c>
      <c r="AQ49" s="24">
        <f t="shared" si="24"/>
        <v>0</v>
      </c>
    </row>
    <row r="50" spans="1:43">
      <c r="A50" t="s">
        <v>59</v>
      </c>
      <c r="B50" t="s">
        <v>795</v>
      </c>
      <c r="C50" t="s">
        <v>796</v>
      </c>
      <c r="D50" s="117">
        <v>0</v>
      </c>
      <c r="E50" s="109">
        <v>1240</v>
      </c>
      <c r="F50" s="109">
        <v>401</v>
      </c>
      <c r="G50" s="117">
        <v>0.24436319317489336</v>
      </c>
      <c r="H50" s="109">
        <v>1200</v>
      </c>
      <c r="I50" s="109">
        <v>198</v>
      </c>
      <c r="J50" s="117">
        <v>0.13797909407665504</v>
      </c>
      <c r="K50" s="117">
        <v>0.13075947996356435</v>
      </c>
      <c r="L50" s="109">
        <v>800</v>
      </c>
      <c r="M50" s="109">
        <v>800</v>
      </c>
      <c r="N50" s="109">
        <v>580</v>
      </c>
      <c r="O50" s="109">
        <v>292</v>
      </c>
      <c r="P50" s="109">
        <v>161</v>
      </c>
      <c r="Q50" s="109">
        <v>127</v>
      </c>
      <c r="R50" s="109">
        <v>220</v>
      </c>
      <c r="S50" s="109">
        <v>119</v>
      </c>
      <c r="T50" s="109">
        <v>79</v>
      </c>
      <c r="U50" s="109">
        <v>22</v>
      </c>
      <c r="V50" s="109">
        <v>0</v>
      </c>
      <c r="W50" s="109">
        <v>0</v>
      </c>
      <c r="Y50" s="24">
        <f>(S50+T50)*'space heating'!$C$20</f>
        <v>49.5</v>
      </c>
      <c r="Z50" s="24">
        <f t="shared" si="0"/>
        <v>40.289895470383271</v>
      </c>
      <c r="AA50" s="24">
        <f t="shared" si="1"/>
        <v>22.21463414634146</v>
      </c>
      <c r="AB50" s="24">
        <f t="shared" si="2"/>
        <v>17.52334494773519</v>
      </c>
      <c r="AC50" s="24">
        <f>(Z50+AA50)*'space heating'!$C$22</f>
        <v>62.504529616724732</v>
      </c>
      <c r="AD50" s="24">
        <f>AB50*'space heating'!$C$23</f>
        <v>17.52334494773519</v>
      </c>
      <c r="AE50" s="24">
        <f>(O50+P50-Z50-AA50)*'space heating'!$C$24</f>
        <v>146.43580139372824</v>
      </c>
      <c r="AF50" s="24">
        <f>(O50+P50-Z50-AA50)*'space heating'!$C$25</f>
        <v>146.43580139372824</v>
      </c>
      <c r="AG50" s="24">
        <f>(Q50-AB50)*'space heating'!$C$26</f>
        <v>54.738327526132409</v>
      </c>
      <c r="AH50" s="24">
        <f t="shared" si="3"/>
        <v>208.94033101045298</v>
      </c>
      <c r="AI50" s="24">
        <f t="shared" si="4"/>
        <v>268.19747386759582</v>
      </c>
      <c r="AJ50" s="24">
        <f t="shared" si="19"/>
        <v>208.94033101045298</v>
      </c>
      <c r="AK50" s="24">
        <f t="shared" si="20"/>
        <v>268.19747386759582</v>
      </c>
      <c r="AL50" s="24">
        <f t="shared" si="7"/>
        <v>0</v>
      </c>
      <c r="AM50" s="24">
        <f t="shared" si="8"/>
        <v>0</v>
      </c>
      <c r="AN50" s="24">
        <f t="shared" si="21"/>
        <v>0</v>
      </c>
      <c r="AO50" s="24">
        <f t="shared" si="22"/>
        <v>0</v>
      </c>
      <c r="AP50" s="24">
        <f t="shared" si="23"/>
        <v>0</v>
      </c>
      <c r="AQ50" s="24">
        <f t="shared" si="24"/>
        <v>0</v>
      </c>
    </row>
    <row r="51" spans="1:43">
      <c r="A51" t="s">
        <v>59</v>
      </c>
      <c r="B51" t="s">
        <v>797</v>
      </c>
      <c r="C51" t="s">
        <v>798</v>
      </c>
      <c r="D51" s="117">
        <v>0</v>
      </c>
      <c r="E51" s="109">
        <v>816</v>
      </c>
      <c r="F51" s="109">
        <v>444</v>
      </c>
      <c r="G51" s="117">
        <v>0.35238095238095241</v>
      </c>
      <c r="H51" s="109">
        <v>6</v>
      </c>
      <c r="I51" s="109">
        <v>1098</v>
      </c>
      <c r="J51" s="117">
        <v>0.9751332149200711</v>
      </c>
      <c r="K51" s="117">
        <v>2.0104880318024154E-2</v>
      </c>
      <c r="L51" s="109">
        <v>877</v>
      </c>
      <c r="M51" s="109">
        <v>877</v>
      </c>
      <c r="N51" s="109">
        <v>804</v>
      </c>
      <c r="O51" s="109">
        <v>492</v>
      </c>
      <c r="P51" s="109">
        <v>196</v>
      </c>
      <c r="Q51" s="109">
        <v>116</v>
      </c>
      <c r="R51" s="109">
        <v>62</v>
      </c>
      <c r="S51" s="109">
        <v>28</v>
      </c>
      <c r="T51" s="109">
        <v>29</v>
      </c>
      <c r="U51" s="109">
        <v>5</v>
      </c>
      <c r="V51" s="109">
        <v>11</v>
      </c>
      <c r="W51" s="109">
        <v>0</v>
      </c>
      <c r="Y51" s="24">
        <f>(S51+T51)*'space heating'!$C$20</f>
        <v>14.25</v>
      </c>
      <c r="Z51" s="24">
        <f t="shared" si="0"/>
        <v>479.76554174067496</v>
      </c>
      <c r="AA51" s="24">
        <f t="shared" si="1"/>
        <v>191.12611012433393</v>
      </c>
      <c r="AB51" s="24">
        <f t="shared" si="2"/>
        <v>113.11545293072825</v>
      </c>
      <c r="AC51" s="24">
        <f>(Z51+AA51)*'space heating'!$C$22</f>
        <v>670.89165186500895</v>
      </c>
      <c r="AD51" s="24">
        <f>AB51*'space heating'!$C$23</f>
        <v>113.11545293072825</v>
      </c>
      <c r="AE51" s="24">
        <f>(O51+P51-Z51-AA51)*'space heating'!$C$24</f>
        <v>6.415630550621664</v>
      </c>
      <c r="AF51" s="24">
        <f>(O51+P51-Z51-AA51)*'space heating'!$C$25</f>
        <v>6.415630550621664</v>
      </c>
      <c r="AG51" s="24">
        <f>(Q51-AB51)*'space heating'!$C$26</f>
        <v>1.4422735346358735</v>
      </c>
      <c r="AH51" s="24">
        <f t="shared" si="3"/>
        <v>677.30728241563065</v>
      </c>
      <c r="AI51" s="24">
        <f t="shared" si="4"/>
        <v>135.22335701598581</v>
      </c>
      <c r="AJ51" s="24">
        <f>IF($A51="South hams",AH51,0)</f>
        <v>677.30728241563065</v>
      </c>
      <c r="AK51" s="24">
        <f>IF($A51="South hams",AI51,0)</f>
        <v>135.22335701598581</v>
      </c>
      <c r="AL51" s="24">
        <f t="shared" si="7"/>
        <v>0</v>
      </c>
      <c r="AM51" s="24">
        <f t="shared" si="8"/>
        <v>0</v>
      </c>
      <c r="AN51" s="24">
        <f>AH51*$D51</f>
        <v>0</v>
      </c>
      <c r="AO51" s="24">
        <f>AI51*$D51</f>
        <v>0</v>
      </c>
      <c r="AP51" s="24">
        <f>IF(AND($A51="teignbridge",$D51&gt;0),AN51,0)</f>
        <v>0</v>
      </c>
      <c r="AQ51" s="24">
        <f>IF(AND($A51="teignbridge",$D51&gt;0),AO51,0)</f>
        <v>0</v>
      </c>
    </row>
    <row r="52" spans="1:43">
      <c r="A52" t="s">
        <v>60</v>
      </c>
      <c r="B52" t="s">
        <v>799</v>
      </c>
      <c r="C52" t="s">
        <v>800</v>
      </c>
      <c r="D52" s="117">
        <v>0</v>
      </c>
      <c r="E52" s="109">
        <v>436</v>
      </c>
      <c r="F52" s="109">
        <v>119</v>
      </c>
      <c r="G52" s="117">
        <v>0.21441441441441442</v>
      </c>
      <c r="H52" s="109" t="e">
        <v>#N/A</v>
      </c>
      <c r="I52" s="109">
        <v>351</v>
      </c>
      <c r="J52" s="117">
        <v>0.6737044145873321</v>
      </c>
      <c r="K52" s="117" t="e">
        <v>#N/A</v>
      </c>
      <c r="L52" s="109">
        <v>498</v>
      </c>
      <c r="M52" s="109">
        <v>498</v>
      </c>
      <c r="N52" s="109">
        <v>478</v>
      </c>
      <c r="O52" s="109">
        <v>254</v>
      </c>
      <c r="P52" s="109">
        <v>133</v>
      </c>
      <c r="Q52" s="109">
        <v>91</v>
      </c>
      <c r="R52" s="109">
        <v>14</v>
      </c>
      <c r="S52" s="109">
        <v>8</v>
      </c>
      <c r="T52" s="109">
        <v>6</v>
      </c>
      <c r="U52" s="109">
        <v>0</v>
      </c>
      <c r="V52" s="109">
        <v>6</v>
      </c>
      <c r="W52" s="109">
        <v>0</v>
      </c>
      <c r="Y52" s="24">
        <f>(S52+T52)*'space heating'!$C$20</f>
        <v>3.5</v>
      </c>
      <c r="Z52" s="24">
        <f t="shared" si="0"/>
        <v>171.12092130518235</v>
      </c>
      <c r="AA52" s="24">
        <f t="shared" si="1"/>
        <v>89.602687140115165</v>
      </c>
      <c r="AB52" s="24">
        <f t="shared" si="2"/>
        <v>61.307101727447218</v>
      </c>
      <c r="AC52" s="24">
        <f>(Z52+AA52)*'space heating'!$C$22</f>
        <v>260.72360844529749</v>
      </c>
      <c r="AD52" s="24">
        <f>AB52*'space heating'!$C$23</f>
        <v>61.307101727447218</v>
      </c>
      <c r="AE52" s="24">
        <f>(O52+P52-Z52-AA52)*'space heating'!$C$24</f>
        <v>47.353646833013428</v>
      </c>
      <c r="AF52" s="24">
        <f>(O52+P52-Z52-AA52)*'space heating'!$C$25</f>
        <v>47.353646833013428</v>
      </c>
      <c r="AG52" s="24">
        <f>(Q52-AB52)*'space heating'!$C$26</f>
        <v>14.846449136276391</v>
      </c>
      <c r="AH52" s="24">
        <f t="shared" si="3"/>
        <v>308.07725527831093</v>
      </c>
      <c r="AI52" s="24">
        <f t="shared" si="4"/>
        <v>127.00719769673704</v>
      </c>
      <c r="AJ52" s="24">
        <f t="shared" ref="AJ52:AJ67" si="25">IF($A52="South hams",AH52,0)</f>
        <v>0</v>
      </c>
      <c r="AK52" s="24">
        <f t="shared" ref="AK52:AK67" si="26">IF($A52="South hams",AI52,0)</f>
        <v>0</v>
      </c>
      <c r="AL52" s="24">
        <f t="shared" si="7"/>
        <v>0</v>
      </c>
      <c r="AM52" s="24">
        <f t="shared" si="8"/>
        <v>0</v>
      </c>
      <c r="AN52" s="24">
        <f t="shared" ref="AN52:AN67" si="27">AH52*$D52</f>
        <v>0</v>
      </c>
      <c r="AO52" s="24">
        <f t="shared" ref="AO52:AO67" si="28">AI52*$D52</f>
        <v>0</v>
      </c>
      <c r="AP52" s="24">
        <f t="shared" ref="AP52:AP67" si="29">IF(AND($A52="teignbridge",$D52&gt;0),AN52,0)</f>
        <v>0</v>
      </c>
      <c r="AQ52" s="24">
        <f t="shared" ref="AQ52:AQ67" si="30">IF(AND($A52="teignbridge",$D52&gt;0),AO52,0)</f>
        <v>0</v>
      </c>
    </row>
    <row r="53" spans="1:43">
      <c r="A53" t="s">
        <v>60</v>
      </c>
      <c r="B53" t="s">
        <v>801</v>
      </c>
      <c r="C53" t="s">
        <v>802</v>
      </c>
      <c r="D53" s="117">
        <v>0</v>
      </c>
      <c r="E53" s="109">
        <v>417</v>
      </c>
      <c r="F53" s="109">
        <v>126</v>
      </c>
      <c r="G53" s="117">
        <v>0.23204419889502761</v>
      </c>
      <c r="H53" s="109" t="e">
        <v>#N/A</v>
      </c>
      <c r="I53" s="109">
        <v>491</v>
      </c>
      <c r="J53" s="117">
        <v>1</v>
      </c>
      <c r="K53" s="117" t="e">
        <v>#N/A</v>
      </c>
      <c r="L53" s="109">
        <v>506</v>
      </c>
      <c r="M53" s="109">
        <v>506</v>
      </c>
      <c r="N53" s="109">
        <v>450</v>
      </c>
      <c r="O53" s="109">
        <v>344</v>
      </c>
      <c r="P53" s="109">
        <v>71</v>
      </c>
      <c r="Q53" s="109">
        <v>35</v>
      </c>
      <c r="R53" s="109">
        <v>25</v>
      </c>
      <c r="S53" s="109">
        <v>8</v>
      </c>
      <c r="T53" s="109">
        <v>14</v>
      </c>
      <c r="U53" s="109">
        <v>3</v>
      </c>
      <c r="V53" s="109">
        <v>31</v>
      </c>
      <c r="W53" s="109">
        <v>0</v>
      </c>
      <c r="Y53" s="24">
        <f>(S53+T53)*'space heating'!$C$20</f>
        <v>5.5</v>
      </c>
      <c r="Z53" s="24">
        <f t="shared" si="0"/>
        <v>344</v>
      </c>
      <c r="AA53" s="24">
        <f t="shared" si="1"/>
        <v>71</v>
      </c>
      <c r="AB53" s="24">
        <f t="shared" si="2"/>
        <v>35</v>
      </c>
      <c r="AC53" s="24">
        <f>(Z53+AA53)*'space heating'!$C$22</f>
        <v>415</v>
      </c>
      <c r="AD53" s="24">
        <f>AB53*'space heating'!$C$23</f>
        <v>35</v>
      </c>
      <c r="AE53" s="24">
        <f>(O53+P53-Z53-AA53)*'space heating'!$C$24</f>
        <v>0</v>
      </c>
      <c r="AF53" s="24">
        <f>(O53+P53-Z53-AA53)*'space heating'!$C$25</f>
        <v>0</v>
      </c>
      <c r="AG53" s="24">
        <f>(Q53-AB53)*'space heating'!$C$26</f>
        <v>0</v>
      </c>
      <c r="AH53" s="24">
        <f t="shared" si="3"/>
        <v>415</v>
      </c>
      <c r="AI53" s="24">
        <f t="shared" si="4"/>
        <v>40.5</v>
      </c>
      <c r="AJ53" s="24">
        <f t="shared" si="25"/>
        <v>0</v>
      </c>
      <c r="AK53" s="24">
        <f t="shared" si="26"/>
        <v>0</v>
      </c>
      <c r="AL53" s="24">
        <f t="shared" si="7"/>
        <v>0</v>
      </c>
      <c r="AM53" s="24">
        <f t="shared" si="8"/>
        <v>0</v>
      </c>
      <c r="AN53" s="24">
        <f t="shared" si="27"/>
        <v>0</v>
      </c>
      <c r="AO53" s="24">
        <f t="shared" si="28"/>
        <v>0</v>
      </c>
      <c r="AP53" s="24">
        <f t="shared" si="29"/>
        <v>0</v>
      </c>
      <c r="AQ53" s="24">
        <f t="shared" si="30"/>
        <v>0</v>
      </c>
    </row>
    <row r="54" spans="1:43">
      <c r="A54" t="s">
        <v>60</v>
      </c>
      <c r="B54" t="s">
        <v>803</v>
      </c>
      <c r="C54" t="s">
        <v>804</v>
      </c>
      <c r="D54" s="117">
        <v>0</v>
      </c>
      <c r="E54" s="109">
        <v>504</v>
      </c>
      <c r="F54" s="109">
        <v>248</v>
      </c>
      <c r="G54" s="117">
        <v>0.32978723404255317</v>
      </c>
      <c r="H54" s="109" t="e">
        <v>#N/A</v>
      </c>
      <c r="I54" s="109">
        <v>673</v>
      </c>
      <c r="J54" s="117">
        <v>0.99556213017751483</v>
      </c>
      <c r="K54" s="117" t="e">
        <v>#N/A</v>
      </c>
      <c r="L54" s="109">
        <v>691</v>
      </c>
      <c r="M54" s="109">
        <v>691</v>
      </c>
      <c r="N54" s="109">
        <v>460</v>
      </c>
      <c r="O54" s="109">
        <v>296</v>
      </c>
      <c r="P54" s="109">
        <v>135</v>
      </c>
      <c r="Q54" s="109">
        <v>29</v>
      </c>
      <c r="R54" s="109">
        <v>12</v>
      </c>
      <c r="S54" s="109">
        <v>8</v>
      </c>
      <c r="T54" s="109">
        <v>3</v>
      </c>
      <c r="U54" s="109">
        <v>1</v>
      </c>
      <c r="V54" s="109">
        <v>219</v>
      </c>
      <c r="W54" s="109">
        <v>0</v>
      </c>
      <c r="Y54" s="24">
        <f>(S54+T54)*'space heating'!$C$20</f>
        <v>2.75</v>
      </c>
      <c r="Z54" s="24">
        <f t="shared" si="0"/>
        <v>294.68639053254441</v>
      </c>
      <c r="AA54" s="24">
        <f t="shared" si="1"/>
        <v>134.4008875739645</v>
      </c>
      <c r="AB54" s="24">
        <f t="shared" si="2"/>
        <v>28.871301775147931</v>
      </c>
      <c r="AC54" s="24">
        <f>(Z54+AA54)*'space heating'!$C$22</f>
        <v>429.0872781065089</v>
      </c>
      <c r="AD54" s="24">
        <f>AB54*'space heating'!$C$23</f>
        <v>28.871301775147931</v>
      </c>
      <c r="AE54" s="24">
        <f>(O54+P54-Z54-AA54)*'space heating'!$C$24</f>
        <v>0.71727071005916088</v>
      </c>
      <c r="AF54" s="24">
        <f>(O54+P54-Z54-AA54)*'space heating'!$C$25</f>
        <v>0.71727071005916088</v>
      </c>
      <c r="AG54" s="24">
        <f>(Q54-AB54)*'space heating'!$C$26</f>
        <v>6.4349112426034694E-2</v>
      </c>
      <c r="AH54" s="24">
        <f t="shared" si="3"/>
        <v>429.80454881656806</v>
      </c>
      <c r="AI54" s="24">
        <f t="shared" si="4"/>
        <v>32.402921597633132</v>
      </c>
      <c r="AJ54" s="24">
        <f t="shared" si="25"/>
        <v>0</v>
      </c>
      <c r="AK54" s="24">
        <f t="shared" si="26"/>
        <v>0</v>
      </c>
      <c r="AL54" s="24">
        <f t="shared" si="7"/>
        <v>0</v>
      </c>
      <c r="AM54" s="24">
        <f t="shared" si="8"/>
        <v>0</v>
      </c>
      <c r="AN54" s="24">
        <f t="shared" si="27"/>
        <v>0</v>
      </c>
      <c r="AO54" s="24">
        <f t="shared" si="28"/>
        <v>0</v>
      </c>
      <c r="AP54" s="24">
        <f t="shared" si="29"/>
        <v>0</v>
      </c>
      <c r="AQ54" s="24">
        <f t="shared" si="30"/>
        <v>0</v>
      </c>
    </row>
    <row r="55" spans="1:43">
      <c r="A55" t="s">
        <v>60</v>
      </c>
      <c r="B55" t="s">
        <v>805</v>
      </c>
      <c r="C55" t="s">
        <v>806</v>
      </c>
      <c r="D55" s="117">
        <v>0.33035714285714285</v>
      </c>
      <c r="E55" s="109">
        <v>435</v>
      </c>
      <c r="F55" s="109">
        <v>120</v>
      </c>
      <c r="G55" s="117">
        <v>0.21621621621621623</v>
      </c>
      <c r="H55" s="109" t="e">
        <v>#N/A</v>
      </c>
      <c r="I55" s="109">
        <v>446</v>
      </c>
      <c r="J55" s="117">
        <v>0.99111111111111116</v>
      </c>
      <c r="K55" s="117" t="e">
        <v>#N/A</v>
      </c>
      <c r="L55" s="109">
        <v>536</v>
      </c>
      <c r="M55" s="109">
        <v>536</v>
      </c>
      <c r="N55" s="109">
        <v>498</v>
      </c>
      <c r="O55" s="109">
        <v>385</v>
      </c>
      <c r="P55" s="109">
        <v>72</v>
      </c>
      <c r="Q55" s="109">
        <v>41</v>
      </c>
      <c r="R55" s="109">
        <v>25</v>
      </c>
      <c r="S55" s="109">
        <v>3</v>
      </c>
      <c r="T55" s="109">
        <v>20</v>
      </c>
      <c r="U55" s="109">
        <v>2</v>
      </c>
      <c r="V55" s="109">
        <v>13</v>
      </c>
      <c r="W55" s="109">
        <v>0</v>
      </c>
      <c r="Y55" s="24">
        <f>(S55+T55)*'space heating'!$C$20</f>
        <v>5.75</v>
      </c>
      <c r="Z55" s="24">
        <f t="shared" si="0"/>
        <v>381.57777777777778</v>
      </c>
      <c r="AA55" s="24">
        <f t="shared" si="1"/>
        <v>71.36</v>
      </c>
      <c r="AB55" s="24">
        <f t="shared" si="2"/>
        <v>40.635555555555555</v>
      </c>
      <c r="AC55" s="24">
        <f>(Z55+AA55)*'space heating'!$C$22</f>
        <v>452.9377777777778</v>
      </c>
      <c r="AD55" s="24">
        <f>AB55*'space heating'!$C$23</f>
        <v>40.635555555555555</v>
      </c>
      <c r="AE55" s="24">
        <f>(O55+P55-Z55-AA55)*'space heating'!$C$24</f>
        <v>1.5233333333333317</v>
      </c>
      <c r="AF55" s="24">
        <f>(O55+P55-Z55-AA55)*'space heating'!$C$25</f>
        <v>1.5233333333333317</v>
      </c>
      <c r="AG55" s="24">
        <f>(Q55-AB55)*'space heating'!$C$26</f>
        <v>0.18222222222222229</v>
      </c>
      <c r="AH55" s="24">
        <f t="shared" si="3"/>
        <v>454.46111111111111</v>
      </c>
      <c r="AI55" s="24">
        <f t="shared" si="4"/>
        <v>48.091111111111111</v>
      </c>
      <c r="AJ55" s="24">
        <f t="shared" si="25"/>
        <v>0</v>
      </c>
      <c r="AK55" s="24">
        <f t="shared" si="26"/>
        <v>0</v>
      </c>
      <c r="AL55" s="24">
        <f t="shared" si="7"/>
        <v>0</v>
      </c>
      <c r="AM55" s="24">
        <f t="shared" si="8"/>
        <v>0</v>
      </c>
      <c r="AN55" s="24">
        <f t="shared" si="27"/>
        <v>150.13447420634921</v>
      </c>
      <c r="AO55" s="24">
        <f t="shared" si="28"/>
        <v>15.887242063492064</v>
      </c>
      <c r="AP55" s="24">
        <f t="shared" si="29"/>
        <v>150.13447420634921</v>
      </c>
      <c r="AQ55" s="24">
        <f t="shared" si="30"/>
        <v>15.887242063492064</v>
      </c>
    </row>
    <row r="56" spans="1:43">
      <c r="A56" t="s">
        <v>60</v>
      </c>
      <c r="B56" t="s">
        <v>807</v>
      </c>
      <c r="C56" t="s">
        <v>808</v>
      </c>
      <c r="D56" s="117">
        <v>0</v>
      </c>
      <c r="E56" s="109">
        <v>610</v>
      </c>
      <c r="F56" s="109">
        <v>128</v>
      </c>
      <c r="G56" s="117">
        <v>0.17344173441734417</v>
      </c>
      <c r="H56" s="109">
        <v>561</v>
      </c>
      <c r="I56" s="109">
        <v>83</v>
      </c>
      <c r="J56" s="117">
        <v>0.12187958883994127</v>
      </c>
      <c r="K56" s="117">
        <v>0.1179578095340425</v>
      </c>
      <c r="L56" s="109">
        <v>671</v>
      </c>
      <c r="M56" s="109">
        <v>671</v>
      </c>
      <c r="N56" s="109">
        <v>620</v>
      </c>
      <c r="O56" s="109">
        <v>218</v>
      </c>
      <c r="P56" s="109">
        <v>226</v>
      </c>
      <c r="Q56" s="109">
        <v>176</v>
      </c>
      <c r="R56" s="109">
        <v>51</v>
      </c>
      <c r="S56" s="109">
        <v>38</v>
      </c>
      <c r="T56" s="109">
        <v>8</v>
      </c>
      <c r="U56" s="109">
        <v>5</v>
      </c>
      <c r="V56" s="109">
        <v>0</v>
      </c>
      <c r="W56" s="109">
        <v>0</v>
      </c>
      <c r="Y56" s="24">
        <f>(S56+T56)*'space heating'!$C$20</f>
        <v>11.5</v>
      </c>
      <c r="Z56" s="24">
        <f t="shared" si="0"/>
        <v>26.569750367107197</v>
      </c>
      <c r="AA56" s="24">
        <f t="shared" si="1"/>
        <v>27.544787077826726</v>
      </c>
      <c r="AB56" s="24">
        <f t="shared" si="2"/>
        <v>21.450807635829662</v>
      </c>
      <c r="AC56" s="24">
        <f>(Z56+AA56)*'space heating'!$C$22</f>
        <v>54.114537444933923</v>
      </c>
      <c r="AD56" s="24">
        <f>AB56*'space heating'!$C$23</f>
        <v>21.450807635829662</v>
      </c>
      <c r="AE56" s="24">
        <f>(O56+P56-Z56-AA56)*'space heating'!$C$24</f>
        <v>146.20704845814976</v>
      </c>
      <c r="AF56" s="24">
        <f>(O56+P56-Z56-AA56)*'space heating'!$C$25</f>
        <v>146.20704845814976</v>
      </c>
      <c r="AG56" s="24">
        <f>(Q56-AB56)*'space heating'!$C$26</f>
        <v>77.274596182085162</v>
      </c>
      <c r="AH56" s="24">
        <f t="shared" si="3"/>
        <v>200.32158590308367</v>
      </c>
      <c r="AI56" s="24">
        <f t="shared" si="4"/>
        <v>256.43245227606462</v>
      </c>
      <c r="AJ56" s="24">
        <f t="shared" si="25"/>
        <v>0</v>
      </c>
      <c r="AK56" s="24">
        <f t="shared" si="26"/>
        <v>0</v>
      </c>
      <c r="AL56" s="24">
        <f t="shared" si="7"/>
        <v>0</v>
      </c>
      <c r="AM56" s="24">
        <f t="shared" si="8"/>
        <v>0</v>
      </c>
      <c r="AN56" s="24">
        <f t="shared" si="27"/>
        <v>0</v>
      </c>
      <c r="AO56" s="24">
        <f t="shared" si="28"/>
        <v>0</v>
      </c>
      <c r="AP56" s="24">
        <f t="shared" si="29"/>
        <v>0</v>
      </c>
      <c r="AQ56" s="24">
        <f t="shared" si="30"/>
        <v>0</v>
      </c>
    </row>
    <row r="57" spans="1:43">
      <c r="A57" t="s">
        <v>60</v>
      </c>
      <c r="B57" t="s">
        <v>809</v>
      </c>
      <c r="C57" t="s">
        <v>810</v>
      </c>
      <c r="D57" s="117">
        <v>0</v>
      </c>
      <c r="E57" s="109">
        <v>665</v>
      </c>
      <c r="F57" s="109">
        <v>145</v>
      </c>
      <c r="G57" s="117">
        <v>0.17901234567901234</v>
      </c>
      <c r="H57" s="109">
        <v>272</v>
      </c>
      <c r="I57" s="109">
        <v>571</v>
      </c>
      <c r="J57" s="117">
        <v>0.8204022988505747</v>
      </c>
      <c r="K57" s="117">
        <v>-0.15620476798637717</v>
      </c>
      <c r="L57" s="109">
        <v>738</v>
      </c>
      <c r="M57" s="109">
        <v>738</v>
      </c>
      <c r="N57" s="109">
        <v>643</v>
      </c>
      <c r="O57" s="109">
        <v>341</v>
      </c>
      <c r="P57" s="109">
        <v>139</v>
      </c>
      <c r="Q57" s="109">
        <v>163</v>
      </c>
      <c r="R57" s="109">
        <v>87</v>
      </c>
      <c r="S57" s="109">
        <v>37</v>
      </c>
      <c r="T57" s="109">
        <v>44</v>
      </c>
      <c r="U57" s="109">
        <v>6</v>
      </c>
      <c r="V57" s="109">
        <v>8</v>
      </c>
      <c r="W57" s="109">
        <v>0</v>
      </c>
      <c r="Y57" s="24">
        <f>(S57+T57)*'space heating'!$C$20</f>
        <v>20.25</v>
      </c>
      <c r="Z57" s="24">
        <f t="shared" si="0"/>
        <v>279.75718390804599</v>
      </c>
      <c r="AA57" s="24">
        <f t="shared" si="1"/>
        <v>114.03591954022988</v>
      </c>
      <c r="AB57" s="24">
        <f t="shared" si="2"/>
        <v>133.72557471264366</v>
      </c>
      <c r="AC57" s="24">
        <f>(Z57+AA57)*'space heating'!$C$22</f>
        <v>393.79310344827587</v>
      </c>
      <c r="AD57" s="24">
        <f>AB57*'space heating'!$C$23</f>
        <v>133.72557471264366</v>
      </c>
      <c r="AE57" s="24">
        <f>(O57+P57-Z57-AA57)*'space heating'!$C$24</f>
        <v>32.327586206896548</v>
      </c>
      <c r="AF57" s="24">
        <f>(O57+P57-Z57-AA57)*'space heating'!$C$25</f>
        <v>32.327586206896548</v>
      </c>
      <c r="AG57" s="24">
        <f>(Q57-AB57)*'space heating'!$C$26</f>
        <v>14.637212643678168</v>
      </c>
      <c r="AH57" s="24">
        <f t="shared" si="3"/>
        <v>426.12068965517244</v>
      </c>
      <c r="AI57" s="24">
        <f t="shared" si="4"/>
        <v>200.94037356321837</v>
      </c>
      <c r="AJ57" s="24">
        <f t="shared" si="25"/>
        <v>0</v>
      </c>
      <c r="AK57" s="24">
        <f t="shared" si="26"/>
        <v>0</v>
      </c>
      <c r="AL57" s="24">
        <f t="shared" si="7"/>
        <v>0</v>
      </c>
      <c r="AM57" s="24">
        <f t="shared" si="8"/>
        <v>0</v>
      </c>
      <c r="AN57" s="24">
        <f t="shared" si="27"/>
        <v>0</v>
      </c>
      <c r="AO57" s="24">
        <f t="shared" si="28"/>
        <v>0</v>
      </c>
      <c r="AP57" s="24">
        <f t="shared" si="29"/>
        <v>0</v>
      </c>
      <c r="AQ57" s="24">
        <f t="shared" si="30"/>
        <v>0</v>
      </c>
    </row>
    <row r="58" spans="1:43">
      <c r="A58" t="s">
        <v>60</v>
      </c>
      <c r="B58" t="s">
        <v>811</v>
      </c>
      <c r="C58" t="s">
        <v>812</v>
      </c>
      <c r="D58" s="117">
        <v>0</v>
      </c>
      <c r="E58" s="109">
        <v>503</v>
      </c>
      <c r="F58" s="109">
        <v>44</v>
      </c>
      <c r="G58" s="117">
        <v>8.0438756855575874E-2</v>
      </c>
      <c r="H58" s="109">
        <v>496</v>
      </c>
      <c r="I58" s="109">
        <v>0</v>
      </c>
      <c r="J58" s="117">
        <v>0</v>
      </c>
      <c r="K58" s="117">
        <v>9.323583180987205E-2</v>
      </c>
      <c r="L58" s="109">
        <v>587</v>
      </c>
      <c r="M58" s="109">
        <v>587</v>
      </c>
      <c r="N58" s="109">
        <v>567</v>
      </c>
      <c r="O58" s="109">
        <v>330</v>
      </c>
      <c r="P58" s="109">
        <v>133</v>
      </c>
      <c r="Q58" s="109">
        <v>104</v>
      </c>
      <c r="R58" s="109">
        <v>19</v>
      </c>
      <c r="S58" s="109">
        <v>9</v>
      </c>
      <c r="T58" s="109">
        <v>6</v>
      </c>
      <c r="U58" s="109">
        <v>4</v>
      </c>
      <c r="V58" s="109">
        <v>1</v>
      </c>
      <c r="W58" s="109">
        <v>0</v>
      </c>
      <c r="Y58" s="24">
        <f>(S58+T58)*'space heating'!$C$20</f>
        <v>3.75</v>
      </c>
      <c r="Z58" s="24">
        <f t="shared" si="0"/>
        <v>0</v>
      </c>
      <c r="AA58" s="24">
        <f t="shared" si="1"/>
        <v>0</v>
      </c>
      <c r="AB58" s="24">
        <f t="shared" si="2"/>
        <v>0</v>
      </c>
      <c r="AC58" s="24">
        <f>(Z58+AA58)*'space heating'!$C$22</f>
        <v>0</v>
      </c>
      <c r="AD58" s="24">
        <f>AB58*'space heating'!$C$23</f>
        <v>0</v>
      </c>
      <c r="AE58" s="24">
        <f>(O58+P58-Z58-AA58)*'space heating'!$C$24</f>
        <v>173.625</v>
      </c>
      <c r="AF58" s="24">
        <f>(O58+P58-Z58-AA58)*'space heating'!$C$25</f>
        <v>173.625</v>
      </c>
      <c r="AG58" s="24">
        <f>(Q58-AB58)*'space heating'!$C$26</f>
        <v>52</v>
      </c>
      <c r="AH58" s="24">
        <f t="shared" si="3"/>
        <v>173.625</v>
      </c>
      <c r="AI58" s="24">
        <f t="shared" si="4"/>
        <v>229.375</v>
      </c>
      <c r="AJ58" s="24">
        <f t="shared" si="25"/>
        <v>0</v>
      </c>
      <c r="AK58" s="24">
        <f t="shared" si="26"/>
        <v>0</v>
      </c>
      <c r="AL58" s="24">
        <f t="shared" si="7"/>
        <v>0</v>
      </c>
      <c r="AM58" s="24">
        <f t="shared" si="8"/>
        <v>0</v>
      </c>
      <c r="AN58" s="24">
        <f t="shared" si="27"/>
        <v>0</v>
      </c>
      <c r="AO58" s="24">
        <f t="shared" si="28"/>
        <v>0</v>
      </c>
      <c r="AP58" s="24">
        <f t="shared" si="29"/>
        <v>0</v>
      </c>
      <c r="AQ58" s="24">
        <f t="shared" si="30"/>
        <v>0</v>
      </c>
    </row>
    <row r="59" spans="1:43">
      <c r="A59" t="s">
        <v>60</v>
      </c>
      <c r="B59" t="s">
        <v>813</v>
      </c>
      <c r="C59" t="s">
        <v>814</v>
      </c>
      <c r="D59" s="117">
        <v>0</v>
      </c>
      <c r="E59" s="109">
        <v>306</v>
      </c>
      <c r="F59" s="109">
        <v>364</v>
      </c>
      <c r="G59" s="117">
        <v>0.54328358208955219</v>
      </c>
      <c r="H59" s="109">
        <v>341</v>
      </c>
      <c r="I59" s="109">
        <v>132</v>
      </c>
      <c r="J59" s="117">
        <v>0.2</v>
      </c>
      <c r="K59" s="117">
        <v>0.29104477611940299</v>
      </c>
      <c r="L59" s="109">
        <v>640</v>
      </c>
      <c r="M59" s="109">
        <v>638</v>
      </c>
      <c r="N59" s="109">
        <v>595</v>
      </c>
      <c r="O59" s="109">
        <v>135</v>
      </c>
      <c r="P59" s="109">
        <v>220</v>
      </c>
      <c r="Q59" s="109">
        <v>240</v>
      </c>
      <c r="R59" s="109">
        <v>43</v>
      </c>
      <c r="S59" s="109">
        <v>39</v>
      </c>
      <c r="T59" s="109">
        <v>4</v>
      </c>
      <c r="U59" s="109">
        <v>0</v>
      </c>
      <c r="V59" s="109">
        <v>0</v>
      </c>
      <c r="W59" s="109">
        <v>2</v>
      </c>
      <c r="Y59" s="24">
        <f>(S59+T59)*'space heating'!$C$20</f>
        <v>10.75</v>
      </c>
      <c r="Z59" s="24">
        <f t="shared" si="0"/>
        <v>27</v>
      </c>
      <c r="AA59" s="24">
        <f t="shared" si="1"/>
        <v>44</v>
      </c>
      <c r="AB59" s="24">
        <f t="shared" si="2"/>
        <v>48</v>
      </c>
      <c r="AC59" s="24">
        <f>(Z59+AA59)*'space heating'!$C$22</f>
        <v>71</v>
      </c>
      <c r="AD59" s="24">
        <f>AB59*'space heating'!$C$23</f>
        <v>48</v>
      </c>
      <c r="AE59" s="24">
        <f>(O59+P59-Z59-AA59)*'space heating'!$C$24</f>
        <v>106.5</v>
      </c>
      <c r="AF59" s="24">
        <f>(O59+P59-Z59-AA59)*'space heating'!$C$25</f>
        <v>106.5</v>
      </c>
      <c r="AG59" s="24">
        <f>(Q59-AB59)*'space heating'!$C$26</f>
        <v>96</v>
      </c>
      <c r="AH59" s="24">
        <f t="shared" si="3"/>
        <v>177.5</v>
      </c>
      <c r="AI59" s="24">
        <f t="shared" si="4"/>
        <v>261.25</v>
      </c>
      <c r="AJ59" s="24">
        <f t="shared" si="25"/>
        <v>0</v>
      </c>
      <c r="AK59" s="24">
        <f t="shared" si="26"/>
        <v>0</v>
      </c>
      <c r="AL59" s="24">
        <f t="shared" si="7"/>
        <v>0</v>
      </c>
      <c r="AM59" s="24">
        <f t="shared" si="8"/>
        <v>0</v>
      </c>
      <c r="AN59" s="24">
        <f t="shared" si="27"/>
        <v>0</v>
      </c>
      <c r="AO59" s="24">
        <f t="shared" si="28"/>
        <v>0</v>
      </c>
      <c r="AP59" s="24">
        <f t="shared" si="29"/>
        <v>0</v>
      </c>
      <c r="AQ59" s="24">
        <f t="shared" si="30"/>
        <v>0</v>
      </c>
    </row>
    <row r="60" spans="1:43">
      <c r="A60" t="s">
        <v>60</v>
      </c>
      <c r="B60" t="s">
        <v>815</v>
      </c>
      <c r="C60" t="s">
        <v>816</v>
      </c>
      <c r="D60" s="117">
        <v>0</v>
      </c>
      <c r="E60" s="109">
        <v>535</v>
      </c>
      <c r="F60" s="109">
        <v>229</v>
      </c>
      <c r="G60" s="117">
        <v>0.29973821989528798</v>
      </c>
      <c r="H60" s="109">
        <v>439</v>
      </c>
      <c r="I60" s="109">
        <v>183</v>
      </c>
      <c r="J60" s="117">
        <v>0.26483357452966716</v>
      </c>
      <c r="K60" s="117">
        <v>0.16055909562740089</v>
      </c>
      <c r="L60" s="109">
        <v>696</v>
      </c>
      <c r="M60" s="109">
        <v>696</v>
      </c>
      <c r="N60" s="109">
        <v>635</v>
      </c>
      <c r="O60" s="109">
        <v>275</v>
      </c>
      <c r="P60" s="109">
        <v>195</v>
      </c>
      <c r="Q60" s="109">
        <v>165</v>
      </c>
      <c r="R60" s="109">
        <v>58</v>
      </c>
      <c r="S60" s="109">
        <v>11</v>
      </c>
      <c r="T60" s="109">
        <v>39</v>
      </c>
      <c r="U60" s="109">
        <v>8</v>
      </c>
      <c r="V60" s="109">
        <v>3</v>
      </c>
      <c r="W60" s="109">
        <v>0</v>
      </c>
      <c r="Y60" s="24">
        <f>(S60+T60)*'space heating'!$C$20</f>
        <v>12.5</v>
      </c>
      <c r="Z60" s="24">
        <f t="shared" si="0"/>
        <v>72.829232995658472</v>
      </c>
      <c r="AA60" s="24">
        <f t="shared" si="1"/>
        <v>51.642547033285098</v>
      </c>
      <c r="AB60" s="24">
        <f t="shared" si="2"/>
        <v>43.697539797395081</v>
      </c>
      <c r="AC60" s="24">
        <f>(Z60+AA60)*'space heating'!$C$22</f>
        <v>124.47178002894357</v>
      </c>
      <c r="AD60" s="24">
        <f>AB60*'space heating'!$C$23</f>
        <v>43.697539797395081</v>
      </c>
      <c r="AE60" s="24">
        <f>(O60+P60-Z60-AA60)*'space heating'!$C$24</f>
        <v>129.57308248914617</v>
      </c>
      <c r="AF60" s="24">
        <f>(O60+P60-Z60-AA60)*'space heating'!$C$25</f>
        <v>129.57308248914617</v>
      </c>
      <c r="AG60" s="24">
        <f>(Q60-AB60)*'space heating'!$C$26</f>
        <v>60.65123010130246</v>
      </c>
      <c r="AH60" s="24">
        <f t="shared" si="3"/>
        <v>254.04486251808976</v>
      </c>
      <c r="AI60" s="24">
        <f t="shared" si="4"/>
        <v>246.42185238784373</v>
      </c>
      <c r="AJ60" s="24">
        <f t="shared" si="25"/>
        <v>0</v>
      </c>
      <c r="AK60" s="24">
        <f t="shared" si="26"/>
        <v>0</v>
      </c>
      <c r="AL60" s="24">
        <f t="shared" si="7"/>
        <v>0</v>
      </c>
      <c r="AM60" s="24">
        <f t="shared" si="8"/>
        <v>0</v>
      </c>
      <c r="AN60" s="24">
        <f t="shared" si="27"/>
        <v>0</v>
      </c>
      <c r="AO60" s="24">
        <f t="shared" si="28"/>
        <v>0</v>
      </c>
      <c r="AP60" s="24">
        <f t="shared" si="29"/>
        <v>0</v>
      </c>
      <c r="AQ60" s="24">
        <f t="shared" si="30"/>
        <v>0</v>
      </c>
    </row>
    <row r="61" spans="1:43">
      <c r="A61" t="s">
        <v>60</v>
      </c>
      <c r="B61" t="s">
        <v>817</v>
      </c>
      <c r="C61" t="s">
        <v>818</v>
      </c>
      <c r="D61" s="117">
        <v>0.72</v>
      </c>
      <c r="E61" s="109">
        <v>521</v>
      </c>
      <c r="F61" s="109">
        <v>140</v>
      </c>
      <c r="G61" s="117">
        <v>0.2118003025718608</v>
      </c>
      <c r="H61" s="109">
        <v>137</v>
      </c>
      <c r="I61" s="109">
        <v>463</v>
      </c>
      <c r="J61" s="117">
        <v>0.74798061389337644</v>
      </c>
      <c r="K61" s="117">
        <v>4.4757661447016872E-2</v>
      </c>
      <c r="L61" s="109">
        <v>612</v>
      </c>
      <c r="M61" s="109">
        <v>612</v>
      </c>
      <c r="N61" s="109">
        <v>601</v>
      </c>
      <c r="O61" s="109">
        <v>436</v>
      </c>
      <c r="P61" s="109">
        <v>105</v>
      </c>
      <c r="Q61" s="109">
        <v>60</v>
      </c>
      <c r="R61" s="109">
        <v>11</v>
      </c>
      <c r="S61" s="109">
        <v>2</v>
      </c>
      <c r="T61" s="109">
        <v>6</v>
      </c>
      <c r="U61" s="109">
        <v>3</v>
      </c>
      <c r="V61" s="109">
        <v>0</v>
      </c>
      <c r="W61" s="109">
        <v>0</v>
      </c>
      <c r="Y61" s="24">
        <f>(S61+T61)*'space heating'!$C$20</f>
        <v>2</v>
      </c>
      <c r="Z61" s="24">
        <f t="shared" si="0"/>
        <v>326.11954765751216</v>
      </c>
      <c r="AA61" s="24">
        <f t="shared" si="1"/>
        <v>78.537964458804524</v>
      </c>
      <c r="AB61" s="24">
        <f t="shared" si="2"/>
        <v>44.878836833602584</v>
      </c>
      <c r="AC61" s="24">
        <f>(Z61+AA61)*'space heating'!$C$22</f>
        <v>404.6575121163167</v>
      </c>
      <c r="AD61" s="24">
        <f>AB61*'space heating'!$C$23</f>
        <v>44.878836833602584</v>
      </c>
      <c r="AE61" s="24">
        <f>(O61+P61-Z61-AA61)*'space heating'!$C$24</f>
        <v>51.128432956381239</v>
      </c>
      <c r="AF61" s="24">
        <f>(O61+P61-Z61-AA61)*'space heating'!$C$25</f>
        <v>51.128432956381239</v>
      </c>
      <c r="AG61" s="24">
        <f>(Q61-AB61)*'space heating'!$C$26</f>
        <v>7.560581583198708</v>
      </c>
      <c r="AH61" s="24">
        <f t="shared" si="3"/>
        <v>455.78594507269793</v>
      </c>
      <c r="AI61" s="24">
        <f t="shared" si="4"/>
        <v>105.56785137318253</v>
      </c>
      <c r="AJ61" s="24">
        <f t="shared" si="25"/>
        <v>0</v>
      </c>
      <c r="AK61" s="24">
        <f t="shared" si="26"/>
        <v>0</v>
      </c>
      <c r="AL61" s="24">
        <f t="shared" si="7"/>
        <v>0</v>
      </c>
      <c r="AM61" s="24">
        <f t="shared" si="8"/>
        <v>0</v>
      </c>
      <c r="AN61" s="24">
        <f t="shared" si="27"/>
        <v>328.16588045234249</v>
      </c>
      <c r="AO61" s="24">
        <f t="shared" si="28"/>
        <v>76.008852988691416</v>
      </c>
      <c r="AP61" s="24">
        <f t="shared" si="29"/>
        <v>328.16588045234249</v>
      </c>
      <c r="AQ61" s="24">
        <f t="shared" si="30"/>
        <v>76.008852988691416</v>
      </c>
    </row>
    <row r="62" spans="1:43">
      <c r="A62" t="s">
        <v>60</v>
      </c>
      <c r="B62" t="s">
        <v>819</v>
      </c>
      <c r="C62" t="s">
        <v>820</v>
      </c>
      <c r="D62" s="117">
        <v>1</v>
      </c>
      <c r="E62" s="109">
        <v>688</v>
      </c>
      <c r="F62" s="109">
        <v>121</v>
      </c>
      <c r="G62" s="117">
        <v>0.14956736711990112</v>
      </c>
      <c r="H62" s="109">
        <v>566</v>
      </c>
      <c r="I62" s="109">
        <v>126</v>
      </c>
      <c r="J62" s="117">
        <v>0.17379310344827587</v>
      </c>
      <c r="K62" s="117">
        <v>0.12657772473466605</v>
      </c>
      <c r="L62" s="109">
        <v>727</v>
      </c>
      <c r="M62" s="109">
        <v>727</v>
      </c>
      <c r="N62" s="109">
        <v>671</v>
      </c>
      <c r="O62" s="109">
        <v>240</v>
      </c>
      <c r="P62" s="109">
        <v>206</v>
      </c>
      <c r="Q62" s="109">
        <v>225</v>
      </c>
      <c r="R62" s="109">
        <v>52</v>
      </c>
      <c r="S62" s="109">
        <v>17</v>
      </c>
      <c r="T62" s="109">
        <v>18</v>
      </c>
      <c r="U62" s="109">
        <v>17</v>
      </c>
      <c r="V62" s="109">
        <v>4</v>
      </c>
      <c r="W62" s="109">
        <v>0</v>
      </c>
      <c r="Y62" s="24">
        <f>(S62+T62)*'space heating'!$C$20</f>
        <v>8.75</v>
      </c>
      <c r="Z62" s="24">
        <f t="shared" si="0"/>
        <v>41.710344827586205</v>
      </c>
      <c r="AA62" s="24">
        <f t="shared" si="1"/>
        <v>35.801379310344828</v>
      </c>
      <c r="AB62" s="24">
        <f t="shared" si="2"/>
        <v>39.103448275862071</v>
      </c>
      <c r="AC62" s="24">
        <f>(Z62+AA62)*'space heating'!$C$22</f>
        <v>77.511724137931026</v>
      </c>
      <c r="AD62" s="24">
        <f>AB62*'space heating'!$C$23</f>
        <v>39.103448275862071</v>
      </c>
      <c r="AE62" s="24">
        <f>(O62+P62-Z62-AA62)*'space heating'!$C$24</f>
        <v>138.18310344827586</v>
      </c>
      <c r="AF62" s="24">
        <f>(O62+P62-Z62-AA62)*'space heating'!$C$25</f>
        <v>138.18310344827586</v>
      </c>
      <c r="AG62" s="24">
        <f>(Q62-AB62)*'space heating'!$C$26</f>
        <v>92.948275862068968</v>
      </c>
      <c r="AH62" s="24">
        <f t="shared" si="3"/>
        <v>215.69482758620688</v>
      </c>
      <c r="AI62" s="24">
        <f t="shared" si="4"/>
        <v>278.9848275862069</v>
      </c>
      <c r="AJ62" s="24">
        <f t="shared" si="25"/>
        <v>0</v>
      </c>
      <c r="AK62" s="24">
        <f t="shared" si="26"/>
        <v>0</v>
      </c>
      <c r="AL62" s="24">
        <f t="shared" si="7"/>
        <v>0</v>
      </c>
      <c r="AM62" s="24">
        <f t="shared" si="8"/>
        <v>0</v>
      </c>
      <c r="AN62" s="24">
        <f t="shared" si="27"/>
        <v>215.69482758620688</v>
      </c>
      <c r="AO62" s="24">
        <f t="shared" si="28"/>
        <v>278.9848275862069</v>
      </c>
      <c r="AP62" s="24">
        <f t="shared" si="29"/>
        <v>215.69482758620688</v>
      </c>
      <c r="AQ62" s="24">
        <f t="shared" si="30"/>
        <v>278.9848275862069</v>
      </c>
    </row>
    <row r="63" spans="1:43">
      <c r="A63" t="s">
        <v>60</v>
      </c>
      <c r="B63" t="s">
        <v>821</v>
      </c>
      <c r="C63" t="s">
        <v>822</v>
      </c>
      <c r="D63" s="117">
        <v>1</v>
      </c>
      <c r="E63" s="109">
        <v>426</v>
      </c>
      <c r="F63" s="109">
        <v>168</v>
      </c>
      <c r="G63" s="117">
        <v>0.28282828282828282</v>
      </c>
      <c r="H63" s="109" t="e">
        <v>#N/A</v>
      </c>
      <c r="I63" s="109">
        <v>506</v>
      </c>
      <c r="J63" s="117">
        <v>0.99021526418786687</v>
      </c>
      <c r="K63" s="117" t="e">
        <v>#N/A</v>
      </c>
      <c r="L63" s="109">
        <v>491</v>
      </c>
      <c r="M63" s="109">
        <v>488</v>
      </c>
      <c r="N63" s="109">
        <v>465</v>
      </c>
      <c r="O63" s="109">
        <v>317</v>
      </c>
      <c r="P63" s="109">
        <v>101</v>
      </c>
      <c r="Q63" s="109">
        <v>47</v>
      </c>
      <c r="R63" s="109">
        <v>22</v>
      </c>
      <c r="S63" s="109">
        <v>8</v>
      </c>
      <c r="T63" s="109">
        <v>11</v>
      </c>
      <c r="U63" s="109">
        <v>3</v>
      </c>
      <c r="V63" s="109">
        <v>1</v>
      </c>
      <c r="W63" s="109">
        <v>3</v>
      </c>
      <c r="Y63" s="24">
        <f>(S63+T63)*'space heating'!$C$20</f>
        <v>4.75</v>
      </c>
      <c r="Z63" s="24">
        <f t="shared" si="0"/>
        <v>313.89823874755382</v>
      </c>
      <c r="AA63" s="24">
        <f t="shared" si="1"/>
        <v>100.01174168297456</v>
      </c>
      <c r="AB63" s="24">
        <f t="shared" si="2"/>
        <v>46.540117416829744</v>
      </c>
      <c r="AC63" s="24">
        <f>(Z63+AA63)*'space heating'!$C$22</f>
        <v>413.90998043052838</v>
      </c>
      <c r="AD63" s="24">
        <f>AB63*'space heating'!$C$23</f>
        <v>46.540117416829744</v>
      </c>
      <c r="AE63" s="24">
        <f>(O63+P63-Z63-AA63)*'space heating'!$C$24</f>
        <v>1.5337573385518581</v>
      </c>
      <c r="AF63" s="24">
        <f>(O63+P63-Z63-AA63)*'space heating'!$C$25</f>
        <v>1.5337573385518581</v>
      </c>
      <c r="AG63" s="24">
        <f>(Q63-AB63)*'space heating'!$C$26</f>
        <v>0.22994129158512777</v>
      </c>
      <c r="AH63" s="24">
        <f t="shared" si="3"/>
        <v>415.44373776908026</v>
      </c>
      <c r="AI63" s="24">
        <f t="shared" si="4"/>
        <v>53.05381604696673</v>
      </c>
      <c r="AJ63" s="24">
        <f t="shared" si="25"/>
        <v>0</v>
      </c>
      <c r="AK63" s="24">
        <f t="shared" si="26"/>
        <v>0</v>
      </c>
      <c r="AL63" s="24">
        <f t="shared" si="7"/>
        <v>0</v>
      </c>
      <c r="AM63" s="24">
        <f t="shared" si="8"/>
        <v>0</v>
      </c>
      <c r="AN63" s="24">
        <f t="shared" si="27"/>
        <v>415.44373776908026</v>
      </c>
      <c r="AO63" s="24">
        <f t="shared" si="28"/>
        <v>53.05381604696673</v>
      </c>
      <c r="AP63" s="24">
        <f t="shared" si="29"/>
        <v>415.44373776908026</v>
      </c>
      <c r="AQ63" s="24">
        <f t="shared" si="30"/>
        <v>53.05381604696673</v>
      </c>
    </row>
    <row r="64" spans="1:43">
      <c r="A64" t="s">
        <v>60</v>
      </c>
      <c r="B64" t="s">
        <v>823</v>
      </c>
      <c r="C64" t="s">
        <v>824</v>
      </c>
      <c r="D64" s="117">
        <v>1</v>
      </c>
      <c r="E64" s="109">
        <v>415</v>
      </c>
      <c r="F64" s="109">
        <v>238</v>
      </c>
      <c r="G64" s="117">
        <v>0.36447166921898927</v>
      </c>
      <c r="H64" s="109" t="e">
        <v>#N/A</v>
      </c>
      <c r="I64" s="109">
        <v>597</v>
      </c>
      <c r="J64" s="117">
        <v>1</v>
      </c>
      <c r="K64" s="117" t="e">
        <v>#N/A</v>
      </c>
      <c r="L64" s="109">
        <v>595</v>
      </c>
      <c r="M64" s="109">
        <v>595</v>
      </c>
      <c r="N64" s="109">
        <v>585</v>
      </c>
      <c r="O64" s="109">
        <v>322</v>
      </c>
      <c r="P64" s="109">
        <v>157</v>
      </c>
      <c r="Q64" s="109">
        <v>106</v>
      </c>
      <c r="R64" s="109">
        <v>6</v>
      </c>
      <c r="S64" s="109">
        <v>0</v>
      </c>
      <c r="T64" s="109">
        <v>1</v>
      </c>
      <c r="U64" s="109">
        <v>5</v>
      </c>
      <c r="V64" s="109">
        <v>4</v>
      </c>
      <c r="W64" s="109">
        <v>0</v>
      </c>
      <c r="Y64" s="24">
        <f>(S64+T64)*'space heating'!$C$20</f>
        <v>0.25</v>
      </c>
      <c r="Z64" s="24">
        <f t="shared" si="0"/>
        <v>322</v>
      </c>
      <c r="AA64" s="24">
        <f t="shared" si="1"/>
        <v>157</v>
      </c>
      <c r="AB64" s="24">
        <f t="shared" si="2"/>
        <v>106</v>
      </c>
      <c r="AC64" s="24">
        <f>(Z64+AA64)*'space heating'!$C$22</f>
        <v>479</v>
      </c>
      <c r="AD64" s="24">
        <f>AB64*'space heating'!$C$23</f>
        <v>106</v>
      </c>
      <c r="AE64" s="24">
        <f>(O64+P64-Z64-AA64)*'space heating'!$C$24</f>
        <v>0</v>
      </c>
      <c r="AF64" s="24">
        <f>(O64+P64-Z64-AA64)*'space heating'!$C$25</f>
        <v>0</v>
      </c>
      <c r="AG64" s="24">
        <f>(Q64-AB64)*'space heating'!$C$26</f>
        <v>0</v>
      </c>
      <c r="AH64" s="24">
        <f t="shared" si="3"/>
        <v>479</v>
      </c>
      <c r="AI64" s="24">
        <f t="shared" si="4"/>
        <v>106.25</v>
      </c>
      <c r="AJ64" s="24">
        <f t="shared" si="25"/>
        <v>0</v>
      </c>
      <c r="AK64" s="24">
        <f t="shared" si="26"/>
        <v>0</v>
      </c>
      <c r="AL64" s="24">
        <f t="shared" si="7"/>
        <v>0</v>
      </c>
      <c r="AM64" s="24">
        <f t="shared" si="8"/>
        <v>0</v>
      </c>
      <c r="AN64" s="24">
        <f t="shared" si="27"/>
        <v>479</v>
      </c>
      <c r="AO64" s="24">
        <f t="shared" si="28"/>
        <v>106.25</v>
      </c>
      <c r="AP64" s="24">
        <f t="shared" si="29"/>
        <v>479</v>
      </c>
      <c r="AQ64" s="24">
        <f t="shared" si="30"/>
        <v>106.25</v>
      </c>
    </row>
    <row r="65" spans="1:43">
      <c r="A65" t="s">
        <v>60</v>
      </c>
      <c r="B65" t="s">
        <v>825</v>
      </c>
      <c r="C65" t="s">
        <v>826</v>
      </c>
      <c r="D65" s="117">
        <v>0</v>
      </c>
      <c r="E65" s="109">
        <v>789</v>
      </c>
      <c r="F65" s="109">
        <v>51</v>
      </c>
      <c r="G65" s="117">
        <v>6.0714285714285714E-2</v>
      </c>
      <c r="H65" s="109">
        <v>752</v>
      </c>
      <c r="I65" s="109">
        <v>41</v>
      </c>
      <c r="J65" s="117">
        <v>5.2229299363057327E-2</v>
      </c>
      <c r="K65" s="117">
        <v>5.2532605398847396E-2</v>
      </c>
      <c r="L65" s="109">
        <v>794</v>
      </c>
      <c r="M65" s="109">
        <v>794</v>
      </c>
      <c r="N65" s="109">
        <v>715</v>
      </c>
      <c r="O65" s="109">
        <v>481</v>
      </c>
      <c r="P65" s="109">
        <v>162</v>
      </c>
      <c r="Q65" s="109">
        <v>72</v>
      </c>
      <c r="R65" s="109">
        <v>52</v>
      </c>
      <c r="S65" s="109">
        <v>25</v>
      </c>
      <c r="T65" s="109">
        <v>24</v>
      </c>
      <c r="U65" s="109">
        <v>3</v>
      </c>
      <c r="V65" s="109">
        <v>27</v>
      </c>
      <c r="W65" s="109">
        <v>0</v>
      </c>
      <c r="Y65" s="24">
        <f>(S65+T65)*'space heating'!$C$20</f>
        <v>12.25</v>
      </c>
      <c r="Z65" s="24">
        <f t="shared" si="0"/>
        <v>25.122292993630573</v>
      </c>
      <c r="AA65" s="24">
        <f t="shared" si="1"/>
        <v>8.461146496815287</v>
      </c>
      <c r="AB65" s="24">
        <f t="shared" si="2"/>
        <v>3.7605095541401274</v>
      </c>
      <c r="AC65" s="24">
        <f>(Z65+AA65)*'space heating'!$C$22</f>
        <v>33.583439490445862</v>
      </c>
      <c r="AD65" s="24">
        <f>AB65*'space heating'!$C$23</f>
        <v>3.7605095541401274</v>
      </c>
      <c r="AE65" s="24">
        <f>(O65+P65-Z65-AA65)*'space heating'!$C$24</f>
        <v>228.53121019108278</v>
      </c>
      <c r="AF65" s="24">
        <f>(O65+P65-Z65-AA65)*'space heating'!$C$25</f>
        <v>228.53121019108278</v>
      </c>
      <c r="AG65" s="24">
        <f>(Q65-AB65)*'space heating'!$C$26</f>
        <v>34.119745222929936</v>
      </c>
      <c r="AH65" s="24">
        <f t="shared" si="3"/>
        <v>262.11464968152865</v>
      </c>
      <c r="AI65" s="24">
        <f t="shared" si="4"/>
        <v>278.66146496815281</v>
      </c>
      <c r="AJ65" s="24">
        <f t="shared" si="25"/>
        <v>0</v>
      </c>
      <c r="AK65" s="24">
        <f t="shared" si="26"/>
        <v>0</v>
      </c>
      <c r="AL65" s="24">
        <f t="shared" si="7"/>
        <v>0</v>
      </c>
      <c r="AM65" s="24">
        <f t="shared" si="8"/>
        <v>0</v>
      </c>
      <c r="AN65" s="24">
        <f t="shared" si="27"/>
        <v>0</v>
      </c>
      <c r="AO65" s="24">
        <f t="shared" si="28"/>
        <v>0</v>
      </c>
      <c r="AP65" s="24">
        <f t="shared" si="29"/>
        <v>0</v>
      </c>
      <c r="AQ65" s="24">
        <f t="shared" si="30"/>
        <v>0</v>
      </c>
    </row>
    <row r="66" spans="1:43">
      <c r="A66" t="s">
        <v>60</v>
      </c>
      <c r="B66" t="s">
        <v>827</v>
      </c>
      <c r="C66" t="s">
        <v>828</v>
      </c>
      <c r="D66" s="117">
        <v>0</v>
      </c>
      <c r="E66" s="109">
        <v>647</v>
      </c>
      <c r="F66" s="109">
        <v>104</v>
      </c>
      <c r="G66" s="117">
        <v>0.1384820239680426</v>
      </c>
      <c r="H66" s="109">
        <v>643</v>
      </c>
      <c r="I66" s="109">
        <v>0</v>
      </c>
      <c r="J66" s="117">
        <v>0</v>
      </c>
      <c r="K66" s="117">
        <v>0.14380825565912114</v>
      </c>
      <c r="L66" s="109">
        <v>710</v>
      </c>
      <c r="M66" s="109">
        <v>710</v>
      </c>
      <c r="N66" s="109">
        <v>600</v>
      </c>
      <c r="O66" s="109">
        <v>211</v>
      </c>
      <c r="P66" s="109">
        <v>167</v>
      </c>
      <c r="Q66" s="109">
        <v>222</v>
      </c>
      <c r="R66" s="109">
        <v>110</v>
      </c>
      <c r="S66" s="109">
        <v>46</v>
      </c>
      <c r="T66" s="109">
        <v>21</v>
      </c>
      <c r="U66" s="109">
        <v>43</v>
      </c>
      <c r="V66" s="109">
        <v>0</v>
      </c>
      <c r="W66" s="109">
        <v>0</v>
      </c>
      <c r="Y66" s="24">
        <f>(S66+T66)*'space heating'!$C$20</f>
        <v>16.75</v>
      </c>
      <c r="Z66" s="24">
        <f t="shared" si="0"/>
        <v>0</v>
      </c>
      <c r="AA66" s="24">
        <f t="shared" si="1"/>
        <v>0</v>
      </c>
      <c r="AB66" s="24">
        <f t="shared" si="2"/>
        <v>0</v>
      </c>
      <c r="AC66" s="24">
        <f>(Z66+AA66)*'space heating'!$C$22</f>
        <v>0</v>
      </c>
      <c r="AD66" s="24">
        <f>AB66*'space heating'!$C$23</f>
        <v>0</v>
      </c>
      <c r="AE66" s="24">
        <f>(O66+P66-Z66-AA66)*'space heating'!$C$24</f>
        <v>141.75</v>
      </c>
      <c r="AF66" s="24">
        <f>(O66+P66-Z66-AA66)*'space heating'!$C$25</f>
        <v>141.75</v>
      </c>
      <c r="AG66" s="24">
        <f>(Q66-AB66)*'space heating'!$C$26</f>
        <v>111</v>
      </c>
      <c r="AH66" s="24">
        <f t="shared" si="3"/>
        <v>141.75</v>
      </c>
      <c r="AI66" s="24">
        <f t="shared" si="4"/>
        <v>269.5</v>
      </c>
      <c r="AJ66" s="24">
        <f t="shared" si="25"/>
        <v>0</v>
      </c>
      <c r="AK66" s="24">
        <f t="shared" si="26"/>
        <v>0</v>
      </c>
      <c r="AL66" s="24">
        <f t="shared" si="7"/>
        <v>0</v>
      </c>
      <c r="AM66" s="24">
        <f t="shared" si="8"/>
        <v>0</v>
      </c>
      <c r="AN66" s="24">
        <f t="shared" si="27"/>
        <v>0</v>
      </c>
      <c r="AO66" s="24">
        <f t="shared" si="28"/>
        <v>0</v>
      </c>
      <c r="AP66" s="24">
        <f t="shared" si="29"/>
        <v>0</v>
      </c>
      <c r="AQ66" s="24">
        <f t="shared" si="30"/>
        <v>0</v>
      </c>
    </row>
    <row r="67" spans="1:43">
      <c r="A67" t="s">
        <v>60</v>
      </c>
      <c r="B67" t="s">
        <v>829</v>
      </c>
      <c r="C67" t="s">
        <v>830</v>
      </c>
      <c r="D67" s="117">
        <v>0</v>
      </c>
      <c r="E67" s="109">
        <v>472</v>
      </c>
      <c r="F67" s="109">
        <v>102</v>
      </c>
      <c r="G67" s="117">
        <v>0.17770034843205576</v>
      </c>
      <c r="H67" s="109">
        <v>465</v>
      </c>
      <c r="I67" s="109">
        <v>131</v>
      </c>
      <c r="J67" s="117">
        <v>0.22664359861591696</v>
      </c>
      <c r="K67" s="117">
        <v>-3.6748128232641702E-2</v>
      </c>
      <c r="L67" s="109">
        <v>542</v>
      </c>
      <c r="M67" s="109">
        <v>542</v>
      </c>
      <c r="N67" s="109">
        <v>458</v>
      </c>
      <c r="O67" s="109">
        <v>170</v>
      </c>
      <c r="P67" s="109">
        <v>166</v>
      </c>
      <c r="Q67" s="109">
        <v>122</v>
      </c>
      <c r="R67" s="109">
        <v>82</v>
      </c>
      <c r="S67" s="109">
        <v>67</v>
      </c>
      <c r="T67" s="109">
        <v>14</v>
      </c>
      <c r="U67" s="109">
        <v>1</v>
      </c>
      <c r="V67" s="109">
        <v>2</v>
      </c>
      <c r="W67" s="109">
        <v>0</v>
      </c>
      <c r="Y67" s="24">
        <f>(S67+T67)*'space heating'!$C$20</f>
        <v>20.25</v>
      </c>
      <c r="Z67" s="24">
        <f t="shared" si="0"/>
        <v>38.529411764705884</v>
      </c>
      <c r="AA67" s="24">
        <f t="shared" si="1"/>
        <v>37.622837370242216</v>
      </c>
      <c r="AB67" s="24">
        <f t="shared" si="2"/>
        <v>27.650519031141869</v>
      </c>
      <c r="AC67" s="24">
        <f>(Z67+AA67)*'space heating'!$C$22</f>
        <v>76.152249134948107</v>
      </c>
      <c r="AD67" s="24">
        <f>AB67*'space heating'!$C$23</f>
        <v>27.650519031141869</v>
      </c>
      <c r="AE67" s="24">
        <f>(O67+P67-Z67-AA67)*'space heating'!$C$24</f>
        <v>97.44290657439447</v>
      </c>
      <c r="AF67" s="24">
        <f>(O67+P67-Z67-AA67)*'space heating'!$C$25</f>
        <v>97.44290657439447</v>
      </c>
      <c r="AG67" s="24">
        <f>(Q67-AB67)*'space heating'!$C$26</f>
        <v>47.174740484429066</v>
      </c>
      <c r="AH67" s="24">
        <f t="shared" si="3"/>
        <v>173.59515570934258</v>
      </c>
      <c r="AI67" s="24">
        <f t="shared" si="4"/>
        <v>192.5181660899654</v>
      </c>
      <c r="AJ67" s="24">
        <f t="shared" si="25"/>
        <v>0</v>
      </c>
      <c r="AK67" s="24">
        <f t="shared" si="26"/>
        <v>0</v>
      </c>
      <c r="AL67" s="24">
        <f t="shared" si="7"/>
        <v>0</v>
      </c>
      <c r="AM67" s="24">
        <f t="shared" si="8"/>
        <v>0</v>
      </c>
      <c r="AN67" s="24">
        <f t="shared" si="27"/>
        <v>0</v>
      </c>
      <c r="AO67" s="24">
        <f t="shared" si="28"/>
        <v>0</v>
      </c>
      <c r="AP67" s="24">
        <f t="shared" si="29"/>
        <v>0</v>
      </c>
      <c r="AQ67" s="24">
        <f t="shared" si="30"/>
        <v>0</v>
      </c>
    </row>
    <row r="68" spans="1:43">
      <c r="A68" t="s">
        <v>60</v>
      </c>
      <c r="B68" t="s">
        <v>831</v>
      </c>
      <c r="C68" t="s">
        <v>832</v>
      </c>
      <c r="D68" s="117">
        <v>0</v>
      </c>
      <c r="E68" s="109">
        <v>688</v>
      </c>
      <c r="F68" s="109">
        <v>85</v>
      </c>
      <c r="G68" s="117">
        <v>0.10996119016817593</v>
      </c>
      <c r="H68" s="109">
        <v>568</v>
      </c>
      <c r="I68" s="109">
        <v>198</v>
      </c>
      <c r="J68" s="117">
        <v>0.30985915492957744</v>
      </c>
      <c r="K68" s="117">
        <v>-4.4658637465153139E-2</v>
      </c>
      <c r="L68" s="109">
        <v>710</v>
      </c>
      <c r="M68" s="109">
        <v>709</v>
      </c>
      <c r="N68" s="109">
        <v>638</v>
      </c>
      <c r="O68" s="109">
        <v>280</v>
      </c>
      <c r="P68" s="109">
        <v>134</v>
      </c>
      <c r="Q68" s="109">
        <v>224</v>
      </c>
      <c r="R68" s="109">
        <v>65</v>
      </c>
      <c r="S68" s="109">
        <v>25</v>
      </c>
      <c r="T68" s="109">
        <v>24</v>
      </c>
      <c r="U68" s="109">
        <v>16</v>
      </c>
      <c r="V68" s="109">
        <v>6</v>
      </c>
      <c r="W68" s="109">
        <v>1</v>
      </c>
      <c r="Y68" s="24">
        <f>(S68+T68)*'space heating'!$C$20</f>
        <v>12.25</v>
      </c>
      <c r="Z68" s="24">
        <f t="shared" ref="Z68:Z131" si="31">$J68*O68</f>
        <v>86.760563380281681</v>
      </c>
      <c r="AA68" s="24">
        <f t="shared" ref="AA68:AA131" si="32">$J68*P68</f>
        <v>41.521126760563376</v>
      </c>
      <c r="AB68" s="24">
        <f t="shared" ref="AB68:AB131" si="33">$J68*Q68</f>
        <v>69.408450704225345</v>
      </c>
      <c r="AC68" s="24">
        <f>(Z68+AA68)*'space heating'!$C$22</f>
        <v>128.28169014084506</v>
      </c>
      <c r="AD68" s="24">
        <f>AB68*'space heating'!$C$23</f>
        <v>69.408450704225345</v>
      </c>
      <c r="AE68" s="24">
        <f>(O68+P68-Z68-AA68)*'space heating'!$C$24</f>
        <v>107.1443661971831</v>
      </c>
      <c r="AF68" s="24">
        <f>(O68+P68-Z68-AA68)*'space heating'!$C$25</f>
        <v>107.1443661971831</v>
      </c>
      <c r="AG68" s="24">
        <f>(Q68-AB68)*'space heating'!$C$26</f>
        <v>77.295774647887328</v>
      </c>
      <c r="AH68" s="24">
        <f t="shared" ref="AH68:AH131" si="34">AC68+AE68</f>
        <v>235.42605633802816</v>
      </c>
      <c r="AI68" s="24">
        <f t="shared" ref="AI68:AI131" si="35">Y68+AD68+AF68+AG68</f>
        <v>266.09859154929575</v>
      </c>
      <c r="AJ68" s="24">
        <f t="shared" ref="AJ68:AK71" si="36">IF($A68="South hams",AH68,0)</f>
        <v>0</v>
      </c>
      <c r="AK68" s="24">
        <f t="shared" si="36"/>
        <v>0</v>
      </c>
      <c r="AL68" s="24">
        <f t="shared" ref="AL68:AL131" si="37">IF($A68="west devon",AH68,0)</f>
        <v>0</v>
      </c>
      <c r="AM68" s="24">
        <f t="shared" ref="AM68:AM131" si="38">IF($A68="west devon",AI68,0)</f>
        <v>0</v>
      </c>
      <c r="AN68" s="24">
        <f t="shared" ref="AN68:AO71" si="39">AH68*$D68</f>
        <v>0</v>
      </c>
      <c r="AO68" s="24">
        <f t="shared" si="39"/>
        <v>0</v>
      </c>
      <c r="AP68" s="24">
        <f t="shared" ref="AP68:AQ71" si="40">IF(AND($A68="teignbridge",$D68&gt;0),AN68,0)</f>
        <v>0</v>
      </c>
      <c r="AQ68" s="24">
        <f t="shared" si="40"/>
        <v>0</v>
      </c>
    </row>
    <row r="69" spans="1:43">
      <c r="A69" t="s">
        <v>60</v>
      </c>
      <c r="B69" t="s">
        <v>833</v>
      </c>
      <c r="C69" t="s">
        <v>834</v>
      </c>
      <c r="D69" s="117">
        <v>0</v>
      </c>
      <c r="E69" s="109">
        <v>521</v>
      </c>
      <c r="F69" s="109">
        <v>44</v>
      </c>
      <c r="G69" s="117">
        <v>7.7876106194690264E-2</v>
      </c>
      <c r="H69" s="109">
        <v>517</v>
      </c>
      <c r="I69" s="109">
        <v>44</v>
      </c>
      <c r="J69" s="117">
        <v>8.5106382978723402E-2</v>
      </c>
      <c r="K69" s="117">
        <v>-1.5063076633402284E-4</v>
      </c>
      <c r="L69" s="109">
        <v>539</v>
      </c>
      <c r="M69" s="109">
        <v>539</v>
      </c>
      <c r="N69" s="109">
        <v>520</v>
      </c>
      <c r="O69" s="109">
        <v>201</v>
      </c>
      <c r="P69" s="109">
        <v>189</v>
      </c>
      <c r="Q69" s="109">
        <v>130</v>
      </c>
      <c r="R69" s="109">
        <v>17</v>
      </c>
      <c r="S69" s="109">
        <v>2</v>
      </c>
      <c r="T69" s="109">
        <v>13</v>
      </c>
      <c r="U69" s="109">
        <v>2</v>
      </c>
      <c r="V69" s="109">
        <v>2</v>
      </c>
      <c r="W69" s="109">
        <v>0</v>
      </c>
      <c r="Y69" s="24">
        <f>(S69+T69)*'space heating'!$C$20</f>
        <v>3.75</v>
      </c>
      <c r="Z69" s="24">
        <f t="shared" si="31"/>
        <v>17.106382978723403</v>
      </c>
      <c r="AA69" s="24">
        <f t="shared" si="32"/>
        <v>16.085106382978722</v>
      </c>
      <c r="AB69" s="24">
        <f t="shared" si="33"/>
        <v>11.063829787234042</v>
      </c>
      <c r="AC69" s="24">
        <f>(Z69+AA69)*'space heating'!$C$22</f>
        <v>33.191489361702125</v>
      </c>
      <c r="AD69" s="24">
        <f>AB69*'space heating'!$C$23</f>
        <v>11.063829787234042</v>
      </c>
      <c r="AE69" s="24">
        <f>(O69+P69-Z69-AA69)*'space heating'!$C$24</f>
        <v>133.80319148936172</v>
      </c>
      <c r="AF69" s="24">
        <f>(O69+P69-Z69-AA69)*'space heating'!$C$25</f>
        <v>133.80319148936172</v>
      </c>
      <c r="AG69" s="24">
        <f>(Q69-AB69)*'space heating'!$C$26</f>
        <v>59.468085106382979</v>
      </c>
      <c r="AH69" s="24">
        <f t="shared" si="34"/>
        <v>166.99468085106383</v>
      </c>
      <c r="AI69" s="24">
        <f t="shared" si="35"/>
        <v>208.08510638297875</v>
      </c>
      <c r="AJ69" s="24">
        <f t="shared" si="36"/>
        <v>0</v>
      </c>
      <c r="AK69" s="24">
        <f t="shared" si="36"/>
        <v>0</v>
      </c>
      <c r="AL69" s="24">
        <f t="shared" si="37"/>
        <v>0</v>
      </c>
      <c r="AM69" s="24">
        <f t="shared" si="38"/>
        <v>0</v>
      </c>
      <c r="AN69" s="24">
        <f t="shared" si="39"/>
        <v>0</v>
      </c>
      <c r="AO69" s="24">
        <f t="shared" si="39"/>
        <v>0</v>
      </c>
      <c r="AP69" s="24">
        <f t="shared" si="40"/>
        <v>0</v>
      </c>
      <c r="AQ69" s="24">
        <f t="shared" si="40"/>
        <v>0</v>
      </c>
    </row>
    <row r="70" spans="1:43">
      <c r="A70" t="s">
        <v>60</v>
      </c>
      <c r="B70" t="s">
        <v>835</v>
      </c>
      <c r="C70" t="s">
        <v>836</v>
      </c>
      <c r="D70" s="117">
        <v>0.33333333333333326</v>
      </c>
      <c r="E70" s="109">
        <v>707</v>
      </c>
      <c r="F70" s="109">
        <v>95</v>
      </c>
      <c r="G70" s="117">
        <v>0.11845386533665836</v>
      </c>
      <c r="H70" s="109">
        <v>453</v>
      </c>
      <c r="I70" s="109">
        <v>295</v>
      </c>
      <c r="J70" s="117">
        <v>0.39972899728997291</v>
      </c>
      <c r="K70" s="117">
        <v>3.5433097473119401E-2</v>
      </c>
      <c r="L70" s="109">
        <v>743</v>
      </c>
      <c r="M70" s="109">
        <v>743</v>
      </c>
      <c r="N70" s="109">
        <v>652</v>
      </c>
      <c r="O70" s="109">
        <v>232</v>
      </c>
      <c r="P70" s="109">
        <v>159</v>
      </c>
      <c r="Q70" s="109">
        <v>261</v>
      </c>
      <c r="R70" s="109">
        <v>31</v>
      </c>
      <c r="S70" s="109">
        <v>14</v>
      </c>
      <c r="T70" s="109">
        <v>13</v>
      </c>
      <c r="U70" s="109">
        <v>4</v>
      </c>
      <c r="V70" s="109">
        <v>60</v>
      </c>
      <c r="W70" s="109">
        <v>0</v>
      </c>
      <c r="Y70" s="24">
        <f>(S70+T70)*'space heating'!$C$20</f>
        <v>6.75</v>
      </c>
      <c r="Z70" s="24">
        <f t="shared" si="31"/>
        <v>92.737127371273715</v>
      </c>
      <c r="AA70" s="24">
        <f t="shared" si="32"/>
        <v>63.556910569105696</v>
      </c>
      <c r="AB70" s="24">
        <f t="shared" si="33"/>
        <v>104.32926829268293</v>
      </c>
      <c r="AC70" s="24">
        <f>(Z70+AA70)*'space heating'!$C$22</f>
        <v>156.29403794037941</v>
      </c>
      <c r="AD70" s="24">
        <f>AB70*'space heating'!$C$23</f>
        <v>104.32926829268293</v>
      </c>
      <c r="AE70" s="24">
        <f>(O70+P70-Z70-AA70)*'space heating'!$C$24</f>
        <v>88.014735772357739</v>
      </c>
      <c r="AF70" s="24">
        <f>(O70+P70-Z70-AA70)*'space heating'!$C$25</f>
        <v>88.014735772357739</v>
      </c>
      <c r="AG70" s="24">
        <f>(Q70-AB70)*'space heating'!$C$26</f>
        <v>78.335365853658544</v>
      </c>
      <c r="AH70" s="24">
        <f t="shared" si="34"/>
        <v>244.30877371273715</v>
      </c>
      <c r="AI70" s="24">
        <f t="shared" si="35"/>
        <v>277.42936991869919</v>
      </c>
      <c r="AJ70" s="24">
        <f t="shared" si="36"/>
        <v>0</v>
      </c>
      <c r="AK70" s="24">
        <f t="shared" si="36"/>
        <v>0</v>
      </c>
      <c r="AL70" s="24">
        <f t="shared" si="37"/>
        <v>0</v>
      </c>
      <c r="AM70" s="24">
        <f t="shared" si="38"/>
        <v>0</v>
      </c>
      <c r="AN70" s="24">
        <f t="shared" si="39"/>
        <v>81.436257904245693</v>
      </c>
      <c r="AO70" s="24">
        <f t="shared" si="39"/>
        <v>92.476456639566379</v>
      </c>
      <c r="AP70" s="24">
        <f t="shared" si="40"/>
        <v>81.436257904245693</v>
      </c>
      <c r="AQ70" s="24">
        <f t="shared" si="40"/>
        <v>92.476456639566379</v>
      </c>
    </row>
    <row r="71" spans="1:43">
      <c r="A71" t="s">
        <v>60</v>
      </c>
      <c r="B71" t="s">
        <v>837</v>
      </c>
      <c r="C71" t="s">
        <v>838</v>
      </c>
      <c r="D71" s="117">
        <v>0</v>
      </c>
      <c r="E71" s="109">
        <v>814</v>
      </c>
      <c r="F71" s="109">
        <v>319</v>
      </c>
      <c r="G71" s="117">
        <v>0.28155339805825241</v>
      </c>
      <c r="H71" s="109">
        <v>252</v>
      </c>
      <c r="I71" s="109">
        <v>470</v>
      </c>
      <c r="J71" s="117">
        <v>0.62005277044854878</v>
      </c>
      <c r="K71" s="117">
        <v>0.15752887121076276</v>
      </c>
      <c r="L71" s="109">
        <v>750</v>
      </c>
      <c r="M71" s="109">
        <v>750</v>
      </c>
      <c r="N71" s="109">
        <v>527</v>
      </c>
      <c r="O71" s="109">
        <v>346</v>
      </c>
      <c r="P71" s="109">
        <v>122</v>
      </c>
      <c r="Q71" s="109">
        <v>59</v>
      </c>
      <c r="R71" s="109">
        <v>146</v>
      </c>
      <c r="S71" s="109">
        <v>119</v>
      </c>
      <c r="T71" s="109">
        <v>18</v>
      </c>
      <c r="U71" s="109">
        <v>9</v>
      </c>
      <c r="V71" s="109">
        <v>77</v>
      </c>
      <c r="W71" s="109">
        <v>0</v>
      </c>
      <c r="Y71" s="24">
        <f>(S71+T71)*'space heating'!$C$20</f>
        <v>34.25</v>
      </c>
      <c r="Z71" s="24">
        <f t="shared" si="31"/>
        <v>214.53825857519789</v>
      </c>
      <c r="AA71" s="24">
        <f t="shared" si="32"/>
        <v>75.646437994722959</v>
      </c>
      <c r="AB71" s="24">
        <f t="shared" si="33"/>
        <v>36.583113456464375</v>
      </c>
      <c r="AC71" s="24">
        <f>(Z71+AA71)*'space heating'!$C$22</f>
        <v>290.18469656992085</v>
      </c>
      <c r="AD71" s="24">
        <f>AB71*'space heating'!$C$23</f>
        <v>36.583113456464375</v>
      </c>
      <c r="AE71" s="24">
        <f>(O71+P71-Z71-AA71)*'space heating'!$C$24</f>
        <v>66.680738786279676</v>
      </c>
      <c r="AF71" s="24">
        <f>(O71+P71-Z71-AA71)*'space heating'!$C$25</f>
        <v>66.680738786279676</v>
      </c>
      <c r="AG71" s="24">
        <f>(Q71-AB71)*'space heating'!$C$26</f>
        <v>11.208443271767813</v>
      </c>
      <c r="AH71" s="24">
        <f t="shared" si="34"/>
        <v>356.86543535620052</v>
      </c>
      <c r="AI71" s="24">
        <f t="shared" si="35"/>
        <v>148.72229551451187</v>
      </c>
      <c r="AJ71" s="24">
        <f t="shared" si="36"/>
        <v>0</v>
      </c>
      <c r="AK71" s="24">
        <f t="shared" si="36"/>
        <v>0</v>
      </c>
      <c r="AL71" s="24">
        <f t="shared" si="37"/>
        <v>0</v>
      </c>
      <c r="AM71" s="24">
        <f t="shared" si="38"/>
        <v>0</v>
      </c>
      <c r="AN71" s="24">
        <f t="shared" si="39"/>
        <v>0</v>
      </c>
      <c r="AO71" s="24">
        <f t="shared" si="39"/>
        <v>0</v>
      </c>
      <c r="AP71" s="24">
        <f t="shared" si="40"/>
        <v>0</v>
      </c>
      <c r="AQ71" s="24">
        <f t="shared" si="40"/>
        <v>0</v>
      </c>
    </row>
    <row r="72" spans="1:43">
      <c r="A72" t="s">
        <v>60</v>
      </c>
      <c r="B72" t="s">
        <v>839</v>
      </c>
      <c r="C72" t="s">
        <v>840</v>
      </c>
      <c r="D72" s="117">
        <v>0</v>
      </c>
      <c r="E72" s="109">
        <v>700</v>
      </c>
      <c r="F72" s="109">
        <v>118</v>
      </c>
      <c r="G72" s="117">
        <v>0.14425427872860636</v>
      </c>
      <c r="H72" s="109">
        <v>713</v>
      </c>
      <c r="I72" s="109">
        <v>27</v>
      </c>
      <c r="J72" s="117">
        <v>3.4928848641655887E-2</v>
      </c>
      <c r="K72" s="117">
        <v>9.343300954905312E-2</v>
      </c>
      <c r="L72" s="109">
        <v>740</v>
      </c>
      <c r="M72" s="109">
        <v>740</v>
      </c>
      <c r="N72" s="109">
        <v>639</v>
      </c>
      <c r="O72" s="109">
        <v>289</v>
      </c>
      <c r="P72" s="109">
        <v>155</v>
      </c>
      <c r="Q72" s="109">
        <v>195</v>
      </c>
      <c r="R72" s="109">
        <v>99</v>
      </c>
      <c r="S72" s="109">
        <v>65</v>
      </c>
      <c r="T72" s="109">
        <v>32</v>
      </c>
      <c r="U72" s="109">
        <v>2</v>
      </c>
      <c r="V72" s="109">
        <v>2</v>
      </c>
      <c r="W72" s="109">
        <v>0</v>
      </c>
      <c r="Y72" s="24">
        <f>(S72+T72)*'space heating'!$C$20</f>
        <v>24.25</v>
      </c>
      <c r="Z72" s="24">
        <f t="shared" si="31"/>
        <v>10.094437257438551</v>
      </c>
      <c r="AA72" s="24">
        <f t="shared" si="32"/>
        <v>5.4139715394566625</v>
      </c>
      <c r="AB72" s="24">
        <f t="shared" si="33"/>
        <v>6.8111254851228979</v>
      </c>
      <c r="AC72" s="24">
        <f>(Z72+AA72)*'space heating'!$C$22</f>
        <v>15.508408796895214</v>
      </c>
      <c r="AD72" s="24">
        <f>AB72*'space heating'!$C$23</f>
        <v>6.8111254851228979</v>
      </c>
      <c r="AE72" s="24">
        <f>(O72+P72-Z72-AA72)*'space heating'!$C$24</f>
        <v>160.68434670116432</v>
      </c>
      <c r="AF72" s="24">
        <f>(O72+P72-Z72-AA72)*'space heating'!$C$25</f>
        <v>160.68434670116432</v>
      </c>
      <c r="AG72" s="24">
        <f>(Q72-AB72)*'space heating'!$C$26</f>
        <v>94.094437257438557</v>
      </c>
      <c r="AH72" s="24">
        <f t="shared" si="34"/>
        <v>176.19275549805954</v>
      </c>
      <c r="AI72" s="24">
        <f t="shared" si="35"/>
        <v>285.83990944372579</v>
      </c>
      <c r="AJ72" s="24">
        <f t="shared" ref="AJ72:AJ87" si="41">IF($A72="South hams",AH72,0)</f>
        <v>0</v>
      </c>
      <c r="AK72" s="24">
        <f t="shared" ref="AK72:AK87" si="42">IF($A72="South hams",AI72,0)</f>
        <v>0</v>
      </c>
      <c r="AL72" s="24">
        <f t="shared" si="37"/>
        <v>0</v>
      </c>
      <c r="AM72" s="24">
        <f t="shared" si="38"/>
        <v>0</v>
      </c>
      <c r="AN72" s="24">
        <f t="shared" ref="AN72:AN87" si="43">AH72*$D72</f>
        <v>0</v>
      </c>
      <c r="AO72" s="24">
        <f t="shared" ref="AO72:AO87" si="44">AI72*$D72</f>
        <v>0</v>
      </c>
      <c r="AP72" s="24">
        <f t="shared" ref="AP72:AP87" si="45">IF(AND($A72="teignbridge",$D72&gt;0),AN72,0)</f>
        <v>0</v>
      </c>
      <c r="AQ72" s="24">
        <f t="shared" ref="AQ72:AQ87" si="46">IF(AND($A72="teignbridge",$D72&gt;0),AO72,0)</f>
        <v>0</v>
      </c>
    </row>
    <row r="73" spans="1:43">
      <c r="A73" t="s">
        <v>60</v>
      </c>
      <c r="B73" t="s">
        <v>841</v>
      </c>
      <c r="C73" t="s">
        <v>842</v>
      </c>
      <c r="D73" s="117">
        <v>0</v>
      </c>
      <c r="E73" s="109">
        <v>591</v>
      </c>
      <c r="F73" s="109">
        <v>102</v>
      </c>
      <c r="G73" s="117">
        <v>0.1471861471861472</v>
      </c>
      <c r="H73" s="109">
        <v>591</v>
      </c>
      <c r="I73" s="109">
        <v>72</v>
      </c>
      <c r="J73" s="117">
        <v>0.10526315789473684</v>
      </c>
      <c r="K73" s="117">
        <v>4.1922989291410362E-2</v>
      </c>
      <c r="L73" s="109">
        <v>639</v>
      </c>
      <c r="M73" s="109">
        <v>639</v>
      </c>
      <c r="N73" s="109">
        <v>560</v>
      </c>
      <c r="O73" s="109">
        <v>278</v>
      </c>
      <c r="P73" s="109">
        <v>245</v>
      </c>
      <c r="Q73" s="109">
        <v>37</v>
      </c>
      <c r="R73" s="109">
        <v>77</v>
      </c>
      <c r="S73" s="109">
        <v>45</v>
      </c>
      <c r="T73" s="109">
        <v>30</v>
      </c>
      <c r="U73" s="109">
        <v>2</v>
      </c>
      <c r="V73" s="109">
        <v>2</v>
      </c>
      <c r="W73" s="109">
        <v>0</v>
      </c>
      <c r="Y73" s="24">
        <f>(S73+T73)*'space heating'!$C$20</f>
        <v>18.75</v>
      </c>
      <c r="Z73" s="24">
        <f t="shared" si="31"/>
        <v>29.263157894736839</v>
      </c>
      <c r="AA73" s="24">
        <f t="shared" si="32"/>
        <v>25.789473684210524</v>
      </c>
      <c r="AB73" s="24">
        <f t="shared" si="33"/>
        <v>3.8947368421052628</v>
      </c>
      <c r="AC73" s="24">
        <f>(Z73+AA73)*'space heating'!$C$22</f>
        <v>55.052631578947363</v>
      </c>
      <c r="AD73" s="24">
        <f>AB73*'space heating'!$C$23</f>
        <v>3.8947368421052628</v>
      </c>
      <c r="AE73" s="24">
        <f>(O73+P73-Z73-AA73)*'space heating'!$C$24</f>
        <v>175.48026315789474</v>
      </c>
      <c r="AF73" s="24">
        <f>(O73+P73-Z73-AA73)*'space heating'!$C$25</f>
        <v>175.48026315789474</v>
      </c>
      <c r="AG73" s="24">
        <f>(Q73-AB73)*'space heating'!$C$26</f>
        <v>16.55263157894737</v>
      </c>
      <c r="AH73" s="24">
        <f t="shared" si="34"/>
        <v>230.53289473684211</v>
      </c>
      <c r="AI73" s="24">
        <f t="shared" si="35"/>
        <v>214.67763157894737</v>
      </c>
      <c r="AJ73" s="24">
        <f t="shared" si="41"/>
        <v>0</v>
      </c>
      <c r="AK73" s="24">
        <f t="shared" si="42"/>
        <v>0</v>
      </c>
      <c r="AL73" s="24">
        <f t="shared" si="37"/>
        <v>0</v>
      </c>
      <c r="AM73" s="24">
        <f t="shared" si="38"/>
        <v>0</v>
      </c>
      <c r="AN73" s="24">
        <f t="shared" si="43"/>
        <v>0</v>
      </c>
      <c r="AO73" s="24">
        <f t="shared" si="44"/>
        <v>0</v>
      </c>
      <c r="AP73" s="24">
        <f t="shared" si="45"/>
        <v>0</v>
      </c>
      <c r="AQ73" s="24">
        <f t="shared" si="46"/>
        <v>0</v>
      </c>
    </row>
    <row r="74" spans="1:43">
      <c r="A74" t="s">
        <v>60</v>
      </c>
      <c r="B74" t="s">
        <v>843</v>
      </c>
      <c r="C74" t="s">
        <v>844</v>
      </c>
      <c r="D74" s="117">
        <v>0</v>
      </c>
      <c r="E74" s="109">
        <v>532</v>
      </c>
      <c r="F74" s="109">
        <v>151</v>
      </c>
      <c r="G74" s="117">
        <v>0.22108345534407028</v>
      </c>
      <c r="H74" s="109">
        <v>527</v>
      </c>
      <c r="I74" s="109">
        <v>26</v>
      </c>
      <c r="J74" s="117">
        <v>4.0372670807453416E-2</v>
      </c>
      <c r="K74" s="117">
        <v>0.18803142875330794</v>
      </c>
      <c r="L74" s="109">
        <v>630</v>
      </c>
      <c r="M74" s="109">
        <v>630</v>
      </c>
      <c r="N74" s="109">
        <v>572</v>
      </c>
      <c r="O74" s="109">
        <v>67</v>
      </c>
      <c r="P74" s="109">
        <v>310</v>
      </c>
      <c r="Q74" s="109">
        <v>195</v>
      </c>
      <c r="R74" s="109">
        <v>58</v>
      </c>
      <c r="S74" s="109">
        <v>35</v>
      </c>
      <c r="T74" s="109">
        <v>23</v>
      </c>
      <c r="U74" s="109">
        <v>0</v>
      </c>
      <c r="V74" s="109">
        <v>0</v>
      </c>
      <c r="W74" s="109">
        <v>0</v>
      </c>
      <c r="Y74" s="24">
        <f>(S74+T74)*'space heating'!$C$20</f>
        <v>14.5</v>
      </c>
      <c r="Z74" s="24">
        <f t="shared" si="31"/>
        <v>2.7049689440993787</v>
      </c>
      <c r="AA74" s="24">
        <f t="shared" si="32"/>
        <v>12.51552795031056</v>
      </c>
      <c r="AB74" s="24">
        <f t="shared" si="33"/>
        <v>7.8726708074534164</v>
      </c>
      <c r="AC74" s="24">
        <f>(Z74+AA74)*'space heating'!$C$22</f>
        <v>15.220496894409939</v>
      </c>
      <c r="AD74" s="24">
        <f>AB74*'space heating'!$C$23</f>
        <v>7.8726708074534164</v>
      </c>
      <c r="AE74" s="24">
        <f>(O74+P74-Z74-AA74)*'space heating'!$C$24</f>
        <v>135.66731366459626</v>
      </c>
      <c r="AF74" s="24">
        <f>(O74+P74-Z74-AA74)*'space heating'!$C$25</f>
        <v>135.66731366459626</v>
      </c>
      <c r="AG74" s="24">
        <f>(Q74-AB74)*'space heating'!$C$26</f>
        <v>93.563664596273298</v>
      </c>
      <c r="AH74" s="24">
        <f t="shared" si="34"/>
        <v>150.8878105590062</v>
      </c>
      <c r="AI74" s="24">
        <f t="shared" si="35"/>
        <v>251.60364906832299</v>
      </c>
      <c r="AJ74" s="24">
        <f t="shared" si="41"/>
        <v>0</v>
      </c>
      <c r="AK74" s="24">
        <f t="shared" si="42"/>
        <v>0</v>
      </c>
      <c r="AL74" s="24">
        <f t="shared" si="37"/>
        <v>0</v>
      </c>
      <c r="AM74" s="24">
        <f t="shared" si="38"/>
        <v>0</v>
      </c>
      <c r="AN74" s="24">
        <f t="shared" si="43"/>
        <v>0</v>
      </c>
      <c r="AO74" s="24">
        <f t="shared" si="44"/>
        <v>0</v>
      </c>
      <c r="AP74" s="24">
        <f t="shared" si="45"/>
        <v>0</v>
      </c>
      <c r="AQ74" s="24">
        <f t="shared" si="46"/>
        <v>0</v>
      </c>
    </row>
    <row r="75" spans="1:43">
      <c r="A75" t="s">
        <v>60</v>
      </c>
      <c r="B75" t="s">
        <v>845</v>
      </c>
      <c r="C75" t="s">
        <v>846</v>
      </c>
      <c r="D75" s="117">
        <v>0</v>
      </c>
      <c r="E75" s="109">
        <v>665</v>
      </c>
      <c r="F75" s="109">
        <v>429</v>
      </c>
      <c r="G75" s="117">
        <v>0.39213893967093238</v>
      </c>
      <c r="H75" s="109">
        <v>662</v>
      </c>
      <c r="I75" s="109">
        <v>112</v>
      </c>
      <c r="J75" s="117">
        <v>0.12081984897518878</v>
      </c>
      <c r="K75" s="117">
        <v>0.27406132104309272</v>
      </c>
      <c r="L75" s="109">
        <v>945</v>
      </c>
      <c r="M75" s="109">
        <v>945</v>
      </c>
      <c r="N75" s="109">
        <v>292</v>
      </c>
      <c r="O75" s="109">
        <v>90</v>
      </c>
      <c r="P75" s="109">
        <v>72</v>
      </c>
      <c r="Q75" s="109">
        <v>130</v>
      </c>
      <c r="R75" s="109">
        <v>653</v>
      </c>
      <c r="S75" s="109">
        <v>418</v>
      </c>
      <c r="T75" s="109">
        <v>180</v>
      </c>
      <c r="U75" s="109">
        <v>55</v>
      </c>
      <c r="V75" s="109">
        <v>0</v>
      </c>
      <c r="W75" s="109">
        <v>0</v>
      </c>
      <c r="Y75" s="24">
        <f>(S75+T75)*'space heating'!$C$20</f>
        <v>149.5</v>
      </c>
      <c r="Z75" s="24">
        <f t="shared" si="31"/>
        <v>10.873786407766991</v>
      </c>
      <c r="AA75" s="24">
        <f t="shared" si="32"/>
        <v>8.6990291262135919</v>
      </c>
      <c r="AB75" s="24">
        <f t="shared" si="33"/>
        <v>15.706580366774542</v>
      </c>
      <c r="AC75" s="24">
        <f>(Z75+AA75)*'space heating'!$C$22</f>
        <v>19.572815533980581</v>
      </c>
      <c r="AD75" s="24">
        <f>AB75*'space heating'!$C$23</f>
        <v>15.706580366774542</v>
      </c>
      <c r="AE75" s="24">
        <f>(O75+P75-Z75-AA75)*'space heating'!$C$24</f>
        <v>53.410194174757279</v>
      </c>
      <c r="AF75" s="24">
        <f>(O75+P75-Z75-AA75)*'space heating'!$C$25</f>
        <v>53.410194174757279</v>
      </c>
      <c r="AG75" s="24">
        <f>(Q75-AB75)*'space heating'!$C$26</f>
        <v>57.146709816612727</v>
      </c>
      <c r="AH75" s="24">
        <f t="shared" si="34"/>
        <v>72.983009708737853</v>
      </c>
      <c r="AI75" s="24">
        <f t="shared" si="35"/>
        <v>275.76348435814452</v>
      </c>
      <c r="AJ75" s="24">
        <f t="shared" si="41"/>
        <v>0</v>
      </c>
      <c r="AK75" s="24">
        <f t="shared" si="42"/>
        <v>0</v>
      </c>
      <c r="AL75" s="24">
        <f t="shared" si="37"/>
        <v>0</v>
      </c>
      <c r="AM75" s="24">
        <f t="shared" si="38"/>
        <v>0</v>
      </c>
      <c r="AN75" s="24">
        <f t="shared" si="43"/>
        <v>0</v>
      </c>
      <c r="AO75" s="24">
        <f t="shared" si="44"/>
        <v>0</v>
      </c>
      <c r="AP75" s="24">
        <f t="shared" si="45"/>
        <v>0</v>
      </c>
      <c r="AQ75" s="24">
        <f t="shared" si="46"/>
        <v>0</v>
      </c>
    </row>
    <row r="76" spans="1:43">
      <c r="A76" t="s">
        <v>60</v>
      </c>
      <c r="B76" t="s">
        <v>847</v>
      </c>
      <c r="C76" t="s">
        <v>848</v>
      </c>
      <c r="D76" s="117">
        <v>0</v>
      </c>
      <c r="E76" s="109">
        <v>821</v>
      </c>
      <c r="F76" s="109">
        <v>109</v>
      </c>
      <c r="G76" s="117">
        <v>0.11720430107526882</v>
      </c>
      <c r="H76" s="109">
        <v>809</v>
      </c>
      <c r="I76" s="109">
        <v>27</v>
      </c>
      <c r="J76" s="117">
        <v>3.1727379553466509E-2</v>
      </c>
      <c r="K76" s="117">
        <v>9.8380147328253939E-2</v>
      </c>
      <c r="L76" s="109">
        <v>832</v>
      </c>
      <c r="M76" s="109">
        <v>832</v>
      </c>
      <c r="N76" s="109">
        <v>766</v>
      </c>
      <c r="O76" s="109">
        <v>530</v>
      </c>
      <c r="P76" s="109">
        <v>131</v>
      </c>
      <c r="Q76" s="109">
        <v>105</v>
      </c>
      <c r="R76" s="109">
        <v>63</v>
      </c>
      <c r="S76" s="109">
        <v>47</v>
      </c>
      <c r="T76" s="109">
        <v>13</v>
      </c>
      <c r="U76" s="109">
        <v>3</v>
      </c>
      <c r="V76" s="109">
        <v>3</v>
      </c>
      <c r="W76" s="109">
        <v>0</v>
      </c>
      <c r="Y76" s="24">
        <f>(S76+T76)*'space heating'!$C$20</f>
        <v>15</v>
      </c>
      <c r="Z76" s="24">
        <f t="shared" si="31"/>
        <v>16.815511163337248</v>
      </c>
      <c r="AA76" s="24">
        <f t="shared" si="32"/>
        <v>4.156286721504113</v>
      </c>
      <c r="AB76" s="24">
        <f t="shared" si="33"/>
        <v>3.3313748531139833</v>
      </c>
      <c r="AC76" s="24">
        <f>(Z76+AA76)*'space heating'!$C$22</f>
        <v>20.971797884841362</v>
      </c>
      <c r="AD76" s="24">
        <f>AB76*'space heating'!$C$23</f>
        <v>3.3313748531139833</v>
      </c>
      <c r="AE76" s="24">
        <f>(O76+P76-Z76-AA76)*'space heating'!$C$24</f>
        <v>240.01057579318447</v>
      </c>
      <c r="AF76" s="24">
        <f>(O76+P76-Z76-AA76)*'space heating'!$C$25</f>
        <v>240.01057579318447</v>
      </c>
      <c r="AG76" s="24">
        <f>(Q76-AB76)*'space heating'!$C$26</f>
        <v>50.834312573443007</v>
      </c>
      <c r="AH76" s="24">
        <f t="shared" si="34"/>
        <v>260.98237367802585</v>
      </c>
      <c r="AI76" s="24">
        <f t="shared" si="35"/>
        <v>309.17626321974149</v>
      </c>
      <c r="AJ76" s="24">
        <f t="shared" si="41"/>
        <v>0</v>
      </c>
      <c r="AK76" s="24">
        <f t="shared" si="42"/>
        <v>0</v>
      </c>
      <c r="AL76" s="24">
        <f t="shared" si="37"/>
        <v>0</v>
      </c>
      <c r="AM76" s="24">
        <f t="shared" si="38"/>
        <v>0</v>
      </c>
      <c r="AN76" s="24">
        <f t="shared" si="43"/>
        <v>0</v>
      </c>
      <c r="AO76" s="24">
        <f t="shared" si="44"/>
        <v>0</v>
      </c>
      <c r="AP76" s="24">
        <f t="shared" si="45"/>
        <v>0</v>
      </c>
      <c r="AQ76" s="24">
        <f t="shared" si="46"/>
        <v>0</v>
      </c>
    </row>
    <row r="77" spans="1:43">
      <c r="A77" t="s">
        <v>60</v>
      </c>
      <c r="B77" t="s">
        <v>849</v>
      </c>
      <c r="C77" t="s">
        <v>850</v>
      </c>
      <c r="D77" s="117">
        <v>0</v>
      </c>
      <c r="E77" s="109">
        <v>518</v>
      </c>
      <c r="F77" s="109">
        <v>110</v>
      </c>
      <c r="G77" s="117">
        <v>0.1751592356687898</v>
      </c>
      <c r="H77" s="109">
        <v>571</v>
      </c>
      <c r="I77" s="109">
        <v>23</v>
      </c>
      <c r="J77" s="117">
        <v>3.6682615629984053E-2</v>
      </c>
      <c r="K77" s="117">
        <v>5.4081715580207065E-2</v>
      </c>
      <c r="L77" s="109">
        <v>598</v>
      </c>
      <c r="M77" s="109">
        <v>598</v>
      </c>
      <c r="N77" s="109">
        <v>514</v>
      </c>
      <c r="O77" s="109">
        <v>103</v>
      </c>
      <c r="P77" s="109">
        <v>163</v>
      </c>
      <c r="Q77" s="109">
        <v>248</v>
      </c>
      <c r="R77" s="109">
        <v>83</v>
      </c>
      <c r="S77" s="109">
        <v>74</v>
      </c>
      <c r="T77" s="109">
        <v>9</v>
      </c>
      <c r="U77" s="109">
        <v>0</v>
      </c>
      <c r="V77" s="109">
        <v>1</v>
      </c>
      <c r="W77" s="109">
        <v>0</v>
      </c>
      <c r="Y77" s="24">
        <f>(S77+T77)*'space heating'!$C$20</f>
        <v>20.75</v>
      </c>
      <c r="Z77" s="24">
        <f t="shared" si="31"/>
        <v>3.7783094098883576</v>
      </c>
      <c r="AA77" s="24">
        <f t="shared" si="32"/>
        <v>5.9792663476874006</v>
      </c>
      <c r="AB77" s="24">
        <f t="shared" si="33"/>
        <v>9.0972886762360456</v>
      </c>
      <c r="AC77" s="24">
        <f>(Z77+AA77)*'space heating'!$C$22</f>
        <v>9.7575757575757578</v>
      </c>
      <c r="AD77" s="24">
        <f>AB77*'space heating'!$C$23</f>
        <v>9.0972886762360456</v>
      </c>
      <c r="AE77" s="24">
        <f>(O77+P77-Z77-AA77)*'space heating'!$C$24</f>
        <v>96.090909090909065</v>
      </c>
      <c r="AF77" s="24">
        <f>(O77+P77-Z77-AA77)*'space heating'!$C$25</f>
        <v>96.090909090909065</v>
      </c>
      <c r="AG77" s="24">
        <f>(Q77-AB77)*'space heating'!$C$26</f>
        <v>119.45135566188198</v>
      </c>
      <c r="AH77" s="24">
        <f t="shared" si="34"/>
        <v>105.84848484848482</v>
      </c>
      <c r="AI77" s="24">
        <f t="shared" si="35"/>
        <v>245.3895534290271</v>
      </c>
      <c r="AJ77" s="24">
        <f t="shared" si="41"/>
        <v>0</v>
      </c>
      <c r="AK77" s="24">
        <f t="shared" si="42"/>
        <v>0</v>
      </c>
      <c r="AL77" s="24">
        <f t="shared" si="37"/>
        <v>0</v>
      </c>
      <c r="AM77" s="24">
        <f t="shared" si="38"/>
        <v>0</v>
      </c>
      <c r="AN77" s="24">
        <f t="shared" si="43"/>
        <v>0</v>
      </c>
      <c r="AO77" s="24">
        <f t="shared" si="44"/>
        <v>0</v>
      </c>
      <c r="AP77" s="24">
        <f t="shared" si="45"/>
        <v>0</v>
      </c>
      <c r="AQ77" s="24">
        <f t="shared" si="46"/>
        <v>0</v>
      </c>
    </row>
    <row r="78" spans="1:43">
      <c r="A78" t="s">
        <v>60</v>
      </c>
      <c r="B78" t="s">
        <v>851</v>
      </c>
      <c r="C78" t="s">
        <v>852</v>
      </c>
      <c r="D78" s="117">
        <v>0</v>
      </c>
      <c r="E78" s="109">
        <v>807</v>
      </c>
      <c r="F78" s="109">
        <v>100</v>
      </c>
      <c r="G78" s="117">
        <v>0.11025358324145534</v>
      </c>
      <c r="H78" s="109">
        <v>729</v>
      </c>
      <c r="I78" s="109">
        <v>45</v>
      </c>
      <c r="J78" s="117">
        <v>5.3699284009546537E-2</v>
      </c>
      <c r="K78" s="117">
        <v>0.142552094160244</v>
      </c>
      <c r="L78" s="109">
        <v>841</v>
      </c>
      <c r="M78" s="109">
        <v>832</v>
      </c>
      <c r="N78" s="109">
        <v>615</v>
      </c>
      <c r="O78" s="109">
        <v>250</v>
      </c>
      <c r="P78" s="109">
        <v>141</v>
      </c>
      <c r="Q78" s="109">
        <v>224</v>
      </c>
      <c r="R78" s="109">
        <v>216</v>
      </c>
      <c r="S78" s="109">
        <v>113</v>
      </c>
      <c r="T78" s="109">
        <v>93</v>
      </c>
      <c r="U78" s="109">
        <v>10</v>
      </c>
      <c r="V78" s="109">
        <v>1</v>
      </c>
      <c r="W78" s="109">
        <v>9</v>
      </c>
      <c r="Y78" s="24">
        <f>(S78+T78)*'space heating'!$C$20</f>
        <v>51.5</v>
      </c>
      <c r="Z78" s="24">
        <f t="shared" si="31"/>
        <v>13.424821002386635</v>
      </c>
      <c r="AA78" s="24">
        <f t="shared" si="32"/>
        <v>7.571599045346062</v>
      </c>
      <c r="AB78" s="24">
        <f t="shared" si="33"/>
        <v>12.028639618138424</v>
      </c>
      <c r="AC78" s="24">
        <f>(Z78+AA78)*'space heating'!$C$22</f>
        <v>20.996420047732698</v>
      </c>
      <c r="AD78" s="24">
        <f>AB78*'space heating'!$C$23</f>
        <v>12.028639618138424</v>
      </c>
      <c r="AE78" s="24">
        <f>(O78+P78-Z78-AA78)*'space heating'!$C$24</f>
        <v>138.75134248210023</v>
      </c>
      <c r="AF78" s="24">
        <f>(O78+P78-Z78-AA78)*'space heating'!$C$25</f>
        <v>138.75134248210023</v>
      </c>
      <c r="AG78" s="24">
        <f>(Q78-AB78)*'space heating'!$C$26</f>
        <v>105.98568019093079</v>
      </c>
      <c r="AH78" s="24">
        <f t="shared" si="34"/>
        <v>159.74776252983293</v>
      </c>
      <c r="AI78" s="24">
        <f t="shared" si="35"/>
        <v>308.26566229116946</v>
      </c>
      <c r="AJ78" s="24">
        <f t="shared" si="41"/>
        <v>0</v>
      </c>
      <c r="AK78" s="24">
        <f t="shared" si="42"/>
        <v>0</v>
      </c>
      <c r="AL78" s="24">
        <f t="shared" si="37"/>
        <v>0</v>
      </c>
      <c r="AM78" s="24">
        <f t="shared" si="38"/>
        <v>0</v>
      </c>
      <c r="AN78" s="24">
        <f t="shared" si="43"/>
        <v>0</v>
      </c>
      <c r="AO78" s="24">
        <f t="shared" si="44"/>
        <v>0</v>
      </c>
      <c r="AP78" s="24">
        <f t="shared" si="45"/>
        <v>0</v>
      </c>
      <c r="AQ78" s="24">
        <f t="shared" si="46"/>
        <v>0</v>
      </c>
    </row>
    <row r="79" spans="1:43">
      <c r="A79" t="s">
        <v>60</v>
      </c>
      <c r="B79" t="s">
        <v>853</v>
      </c>
      <c r="C79" t="s">
        <v>854</v>
      </c>
      <c r="D79" s="117">
        <v>2.5974025974025972E-2</v>
      </c>
      <c r="E79" s="109">
        <v>639</v>
      </c>
      <c r="F79" s="109">
        <v>61</v>
      </c>
      <c r="G79" s="117">
        <v>8.7142857142857147E-2</v>
      </c>
      <c r="H79" s="109">
        <v>705</v>
      </c>
      <c r="I79" s="109">
        <v>60</v>
      </c>
      <c r="J79" s="117">
        <v>7.7220077220077218E-2</v>
      </c>
      <c r="K79" s="117">
        <v>-8.4362934362934336E-2</v>
      </c>
      <c r="L79" s="109">
        <v>734</v>
      </c>
      <c r="M79" s="109">
        <v>734</v>
      </c>
      <c r="N79" s="109">
        <v>488</v>
      </c>
      <c r="O79" s="109">
        <v>261</v>
      </c>
      <c r="P79" s="109">
        <v>105</v>
      </c>
      <c r="Q79" s="109">
        <v>122</v>
      </c>
      <c r="R79" s="109">
        <v>36</v>
      </c>
      <c r="S79" s="109">
        <v>24</v>
      </c>
      <c r="T79" s="109">
        <v>11</v>
      </c>
      <c r="U79" s="109">
        <v>1</v>
      </c>
      <c r="V79" s="109">
        <v>210</v>
      </c>
      <c r="W79" s="109">
        <v>0</v>
      </c>
      <c r="Y79" s="24">
        <f>(S79+T79)*'space heating'!$C$20</f>
        <v>8.75</v>
      </c>
      <c r="Z79" s="24">
        <f t="shared" si="31"/>
        <v>20.154440154440152</v>
      </c>
      <c r="AA79" s="24">
        <f t="shared" si="32"/>
        <v>8.1081081081081088</v>
      </c>
      <c r="AB79" s="24">
        <f t="shared" si="33"/>
        <v>9.4208494208494198</v>
      </c>
      <c r="AC79" s="24">
        <f>(Z79+AA79)*'space heating'!$C$22</f>
        <v>28.262548262548261</v>
      </c>
      <c r="AD79" s="24">
        <f>AB79*'space heating'!$C$23</f>
        <v>9.4208494208494198</v>
      </c>
      <c r="AE79" s="24">
        <f>(O79+P79-Z79-AA79)*'space heating'!$C$24</f>
        <v>126.65154440154438</v>
      </c>
      <c r="AF79" s="24">
        <f>(O79+P79-Z79-AA79)*'space heating'!$C$25</f>
        <v>126.65154440154438</v>
      </c>
      <c r="AG79" s="24">
        <f>(Q79-AB79)*'space heating'!$C$26</f>
        <v>56.289575289575289</v>
      </c>
      <c r="AH79" s="24">
        <f t="shared" si="34"/>
        <v>154.91409266409264</v>
      </c>
      <c r="AI79" s="24">
        <f t="shared" si="35"/>
        <v>201.11196911196907</v>
      </c>
      <c r="AJ79" s="24">
        <f t="shared" si="41"/>
        <v>0</v>
      </c>
      <c r="AK79" s="24">
        <f t="shared" si="42"/>
        <v>0</v>
      </c>
      <c r="AL79" s="24">
        <f t="shared" si="37"/>
        <v>0</v>
      </c>
      <c r="AM79" s="24">
        <f t="shared" si="38"/>
        <v>0</v>
      </c>
      <c r="AN79" s="24">
        <f t="shared" si="43"/>
        <v>4.0237426665998086</v>
      </c>
      <c r="AO79" s="24">
        <f t="shared" si="44"/>
        <v>5.2236875094017936</v>
      </c>
      <c r="AP79" s="24">
        <f t="shared" si="45"/>
        <v>4.0237426665998086</v>
      </c>
      <c r="AQ79" s="24">
        <f t="shared" si="46"/>
        <v>5.2236875094017936</v>
      </c>
    </row>
    <row r="80" spans="1:43">
      <c r="A80" t="s">
        <v>60</v>
      </c>
      <c r="B80" t="s">
        <v>855</v>
      </c>
      <c r="C80" t="s">
        <v>856</v>
      </c>
      <c r="D80" s="117">
        <v>0</v>
      </c>
      <c r="E80" s="109">
        <v>619</v>
      </c>
      <c r="F80" s="109">
        <v>46</v>
      </c>
      <c r="G80" s="117">
        <v>6.9172932330827067E-2</v>
      </c>
      <c r="H80" s="109">
        <v>624</v>
      </c>
      <c r="I80" s="109">
        <v>0</v>
      </c>
      <c r="J80" s="117">
        <v>0</v>
      </c>
      <c r="K80" s="117">
        <v>6.165413533834585E-2</v>
      </c>
      <c r="L80" s="109">
        <v>624</v>
      </c>
      <c r="M80" s="109">
        <v>624</v>
      </c>
      <c r="N80" s="109">
        <v>586</v>
      </c>
      <c r="O80" s="109">
        <v>110</v>
      </c>
      <c r="P80" s="109">
        <v>227</v>
      </c>
      <c r="Q80" s="109">
        <v>249</v>
      </c>
      <c r="R80" s="109">
        <v>33</v>
      </c>
      <c r="S80" s="109">
        <v>26</v>
      </c>
      <c r="T80" s="109">
        <v>4</v>
      </c>
      <c r="U80" s="109">
        <v>3</v>
      </c>
      <c r="V80" s="109">
        <v>5</v>
      </c>
      <c r="W80" s="109">
        <v>0</v>
      </c>
      <c r="Y80" s="24">
        <f>(S80+T80)*'space heating'!$C$20</f>
        <v>7.5</v>
      </c>
      <c r="Z80" s="24">
        <f t="shared" si="31"/>
        <v>0</v>
      </c>
      <c r="AA80" s="24">
        <f t="shared" si="32"/>
        <v>0</v>
      </c>
      <c r="AB80" s="24">
        <f t="shared" si="33"/>
        <v>0</v>
      </c>
      <c r="AC80" s="24">
        <f>(Z80+AA80)*'space heating'!$C$22</f>
        <v>0</v>
      </c>
      <c r="AD80" s="24">
        <f>AB80*'space heating'!$C$23</f>
        <v>0</v>
      </c>
      <c r="AE80" s="24">
        <f>(O80+P80-Z80-AA80)*'space heating'!$C$24</f>
        <v>126.375</v>
      </c>
      <c r="AF80" s="24">
        <f>(O80+P80-Z80-AA80)*'space heating'!$C$25</f>
        <v>126.375</v>
      </c>
      <c r="AG80" s="24">
        <f>(Q80-AB80)*'space heating'!$C$26</f>
        <v>124.5</v>
      </c>
      <c r="AH80" s="24">
        <f t="shared" si="34"/>
        <v>126.375</v>
      </c>
      <c r="AI80" s="24">
        <f t="shared" si="35"/>
        <v>258.375</v>
      </c>
      <c r="AJ80" s="24">
        <f t="shared" si="41"/>
        <v>0</v>
      </c>
      <c r="AK80" s="24">
        <f t="shared" si="42"/>
        <v>0</v>
      </c>
      <c r="AL80" s="24">
        <f t="shared" si="37"/>
        <v>0</v>
      </c>
      <c r="AM80" s="24">
        <f t="shared" si="38"/>
        <v>0</v>
      </c>
      <c r="AN80" s="24">
        <f t="shared" si="43"/>
        <v>0</v>
      </c>
      <c r="AO80" s="24">
        <f t="shared" si="44"/>
        <v>0</v>
      </c>
      <c r="AP80" s="24">
        <f t="shared" si="45"/>
        <v>0</v>
      </c>
      <c r="AQ80" s="24">
        <f t="shared" si="46"/>
        <v>0</v>
      </c>
    </row>
    <row r="81" spans="1:43">
      <c r="A81" t="s">
        <v>60</v>
      </c>
      <c r="B81" t="s">
        <v>857</v>
      </c>
      <c r="C81" t="s">
        <v>858</v>
      </c>
      <c r="D81" s="117">
        <v>5.8823529411764698E-2</v>
      </c>
      <c r="E81" s="109">
        <v>430</v>
      </c>
      <c r="F81" s="109">
        <v>73</v>
      </c>
      <c r="G81" s="117">
        <v>0.14512922465208747</v>
      </c>
      <c r="H81" s="109">
        <v>398</v>
      </c>
      <c r="I81" s="109">
        <v>47</v>
      </c>
      <c r="J81" s="117">
        <v>8.5610200364298727E-2</v>
      </c>
      <c r="K81" s="117">
        <v>0.12313731454623805</v>
      </c>
      <c r="L81" s="109">
        <v>539</v>
      </c>
      <c r="M81" s="109">
        <v>539</v>
      </c>
      <c r="N81" s="109">
        <v>474</v>
      </c>
      <c r="O81" s="109">
        <v>355</v>
      </c>
      <c r="P81" s="109">
        <v>94</v>
      </c>
      <c r="Q81" s="109">
        <v>25</v>
      </c>
      <c r="R81" s="109">
        <v>9</v>
      </c>
      <c r="S81" s="109">
        <v>8</v>
      </c>
      <c r="T81" s="109">
        <v>0</v>
      </c>
      <c r="U81" s="109">
        <v>1</v>
      </c>
      <c r="V81" s="109">
        <v>56</v>
      </c>
      <c r="W81" s="109">
        <v>0</v>
      </c>
      <c r="Y81" s="24">
        <f>(S81+T81)*'space heating'!$C$20</f>
        <v>2</v>
      </c>
      <c r="Z81" s="24">
        <f t="shared" si="31"/>
        <v>30.391621129326047</v>
      </c>
      <c r="AA81" s="24">
        <f t="shared" si="32"/>
        <v>8.0473588342440809</v>
      </c>
      <c r="AB81" s="24">
        <f t="shared" si="33"/>
        <v>2.1402550091074684</v>
      </c>
      <c r="AC81" s="24">
        <f>(Z81+AA81)*'space heating'!$C$22</f>
        <v>38.438979963570127</v>
      </c>
      <c r="AD81" s="24">
        <f>AB81*'space heating'!$C$23</f>
        <v>2.1402550091074684</v>
      </c>
      <c r="AE81" s="24">
        <f>(O81+P81-Z81-AA81)*'space heating'!$C$24</f>
        <v>153.96038251366119</v>
      </c>
      <c r="AF81" s="24">
        <f>(O81+P81-Z81-AA81)*'space heating'!$C$25</f>
        <v>153.96038251366119</v>
      </c>
      <c r="AG81" s="24">
        <f>(Q81-AB81)*'space heating'!$C$26</f>
        <v>11.429872495446265</v>
      </c>
      <c r="AH81" s="24">
        <f t="shared" si="34"/>
        <v>192.39936247723131</v>
      </c>
      <c r="AI81" s="24">
        <f t="shared" si="35"/>
        <v>169.53051001821493</v>
      </c>
      <c r="AJ81" s="24">
        <f t="shared" si="41"/>
        <v>0</v>
      </c>
      <c r="AK81" s="24">
        <f t="shared" si="42"/>
        <v>0</v>
      </c>
      <c r="AL81" s="24">
        <f t="shared" si="37"/>
        <v>0</v>
      </c>
      <c r="AM81" s="24">
        <f t="shared" si="38"/>
        <v>0</v>
      </c>
      <c r="AN81" s="24">
        <f t="shared" si="43"/>
        <v>11.317609557484193</v>
      </c>
      <c r="AO81" s="24">
        <f t="shared" si="44"/>
        <v>9.9723829422479362</v>
      </c>
      <c r="AP81" s="24">
        <f t="shared" si="45"/>
        <v>11.317609557484193</v>
      </c>
      <c r="AQ81" s="24">
        <f t="shared" si="46"/>
        <v>9.9723829422479362</v>
      </c>
    </row>
    <row r="82" spans="1:43">
      <c r="A82" t="s">
        <v>60</v>
      </c>
      <c r="B82" t="s">
        <v>859</v>
      </c>
      <c r="C82" t="s">
        <v>860</v>
      </c>
      <c r="D82" s="117">
        <v>0.66233766233766234</v>
      </c>
      <c r="E82" s="109">
        <v>506</v>
      </c>
      <c r="F82" s="109">
        <v>177</v>
      </c>
      <c r="G82" s="117">
        <v>0.25915080527086382</v>
      </c>
      <c r="H82" s="109">
        <v>18</v>
      </c>
      <c r="I82" s="109">
        <v>573</v>
      </c>
      <c r="J82" s="117">
        <v>0.94243421052631582</v>
      </c>
      <c r="K82" s="117">
        <v>3.1211470293596277E-2</v>
      </c>
      <c r="L82" s="109">
        <v>637</v>
      </c>
      <c r="M82" s="109">
        <v>637</v>
      </c>
      <c r="N82" s="109">
        <v>613</v>
      </c>
      <c r="O82" s="109">
        <v>351</v>
      </c>
      <c r="P82" s="109">
        <v>147</v>
      </c>
      <c r="Q82" s="109">
        <v>115</v>
      </c>
      <c r="R82" s="109">
        <v>19</v>
      </c>
      <c r="S82" s="109">
        <v>6</v>
      </c>
      <c r="T82" s="109">
        <v>12</v>
      </c>
      <c r="U82" s="109">
        <v>1</v>
      </c>
      <c r="V82" s="109">
        <v>5</v>
      </c>
      <c r="W82" s="109">
        <v>0</v>
      </c>
      <c r="Y82" s="24">
        <f>(S82+T82)*'space heating'!$C$20</f>
        <v>4.5</v>
      </c>
      <c r="Z82" s="24">
        <f t="shared" si="31"/>
        <v>330.79440789473688</v>
      </c>
      <c r="AA82" s="24">
        <f t="shared" si="32"/>
        <v>138.53782894736844</v>
      </c>
      <c r="AB82" s="24">
        <f t="shared" si="33"/>
        <v>108.37993421052632</v>
      </c>
      <c r="AC82" s="24">
        <f>(Z82+AA82)*'space heating'!$C$22</f>
        <v>469.33223684210532</v>
      </c>
      <c r="AD82" s="24">
        <f>AB82*'space heating'!$C$23</f>
        <v>108.37993421052632</v>
      </c>
      <c r="AE82" s="24">
        <f>(O82+P82-Z82-AA82)*'space heating'!$C$24</f>
        <v>10.750411184210506</v>
      </c>
      <c r="AF82" s="24">
        <f>(O82+P82-Z82-AA82)*'space heating'!$C$25</f>
        <v>10.750411184210506</v>
      </c>
      <c r="AG82" s="24">
        <f>(Q82-AB82)*'space heating'!$C$26</f>
        <v>3.3100328947368425</v>
      </c>
      <c r="AH82" s="24">
        <f t="shared" si="34"/>
        <v>480.08264802631584</v>
      </c>
      <c r="AI82" s="24">
        <f t="shared" si="35"/>
        <v>126.94037828947367</v>
      </c>
      <c r="AJ82" s="24">
        <f t="shared" si="41"/>
        <v>0</v>
      </c>
      <c r="AK82" s="24">
        <f t="shared" si="42"/>
        <v>0</v>
      </c>
      <c r="AL82" s="24">
        <f t="shared" si="37"/>
        <v>0</v>
      </c>
      <c r="AM82" s="24">
        <f t="shared" si="38"/>
        <v>0</v>
      </c>
      <c r="AN82" s="24">
        <f t="shared" si="43"/>
        <v>317.97681882262475</v>
      </c>
      <c r="AO82" s="24">
        <f t="shared" si="44"/>
        <v>84.077393412508542</v>
      </c>
      <c r="AP82" s="24">
        <f t="shared" si="45"/>
        <v>317.97681882262475</v>
      </c>
      <c r="AQ82" s="24">
        <f t="shared" si="46"/>
        <v>84.077393412508542</v>
      </c>
    </row>
    <row r="83" spans="1:43">
      <c r="A83" t="s">
        <v>60</v>
      </c>
      <c r="B83" t="s">
        <v>861</v>
      </c>
      <c r="C83" t="s">
        <v>862</v>
      </c>
      <c r="D83" s="117">
        <v>0</v>
      </c>
      <c r="E83" s="109">
        <v>729</v>
      </c>
      <c r="F83" s="109">
        <v>64</v>
      </c>
      <c r="G83" s="117">
        <v>8.0706179066834804E-2</v>
      </c>
      <c r="H83" s="109">
        <v>753</v>
      </c>
      <c r="I83" s="109">
        <v>57</v>
      </c>
      <c r="J83" s="117">
        <v>7.6923076923076927E-2</v>
      </c>
      <c r="K83" s="117">
        <v>-2.6481715006305195E-2</v>
      </c>
      <c r="L83" s="109">
        <v>749</v>
      </c>
      <c r="M83" s="109">
        <v>749</v>
      </c>
      <c r="N83" s="109">
        <v>716</v>
      </c>
      <c r="O83" s="109">
        <v>428</v>
      </c>
      <c r="P83" s="109">
        <v>200</v>
      </c>
      <c r="Q83" s="109">
        <v>88</v>
      </c>
      <c r="R83" s="109">
        <v>33</v>
      </c>
      <c r="S83" s="109">
        <v>28</v>
      </c>
      <c r="T83" s="109">
        <v>3</v>
      </c>
      <c r="U83" s="109">
        <v>2</v>
      </c>
      <c r="V83" s="109">
        <v>0</v>
      </c>
      <c r="W83" s="109">
        <v>0</v>
      </c>
      <c r="Y83" s="24">
        <f>(S83+T83)*'space heating'!$C$20</f>
        <v>7.75</v>
      </c>
      <c r="Z83" s="24">
        <f t="shared" si="31"/>
        <v>32.923076923076927</v>
      </c>
      <c r="AA83" s="24">
        <f t="shared" si="32"/>
        <v>15.384615384615385</v>
      </c>
      <c r="AB83" s="24">
        <f t="shared" si="33"/>
        <v>6.7692307692307701</v>
      </c>
      <c r="AC83" s="24">
        <f>(Z83+AA83)*'space heating'!$C$22</f>
        <v>48.307692307692314</v>
      </c>
      <c r="AD83" s="24">
        <f>AB83*'space heating'!$C$23</f>
        <v>6.7692307692307701</v>
      </c>
      <c r="AE83" s="24">
        <f>(O83+P83-Z83-AA83)*'space heating'!$C$24</f>
        <v>217.38461538461542</v>
      </c>
      <c r="AF83" s="24">
        <f>(O83+P83-Z83-AA83)*'space heating'!$C$25</f>
        <v>217.38461538461542</v>
      </c>
      <c r="AG83" s="24">
        <f>(Q83-AB83)*'space heating'!$C$26</f>
        <v>40.615384615384613</v>
      </c>
      <c r="AH83" s="24">
        <f t="shared" si="34"/>
        <v>265.69230769230774</v>
      </c>
      <c r="AI83" s="24">
        <f t="shared" si="35"/>
        <v>272.51923076923083</v>
      </c>
      <c r="AJ83" s="24">
        <f t="shared" si="41"/>
        <v>0</v>
      </c>
      <c r="AK83" s="24">
        <f t="shared" si="42"/>
        <v>0</v>
      </c>
      <c r="AL83" s="24">
        <f t="shared" si="37"/>
        <v>0</v>
      </c>
      <c r="AM83" s="24">
        <f t="shared" si="38"/>
        <v>0</v>
      </c>
      <c r="AN83" s="24">
        <f t="shared" si="43"/>
        <v>0</v>
      </c>
      <c r="AO83" s="24">
        <f t="shared" si="44"/>
        <v>0</v>
      </c>
      <c r="AP83" s="24">
        <f t="shared" si="45"/>
        <v>0</v>
      </c>
      <c r="AQ83" s="24">
        <f t="shared" si="46"/>
        <v>0</v>
      </c>
    </row>
    <row r="84" spans="1:43">
      <c r="A84" t="s">
        <v>60</v>
      </c>
      <c r="B84" t="s">
        <v>863</v>
      </c>
      <c r="C84" t="s">
        <v>864</v>
      </c>
      <c r="D84" s="117">
        <v>0</v>
      </c>
      <c r="E84" s="109">
        <v>648</v>
      </c>
      <c r="F84" s="109">
        <v>112</v>
      </c>
      <c r="G84" s="117">
        <v>0.14736842105263157</v>
      </c>
      <c r="H84" s="109">
        <v>650</v>
      </c>
      <c r="I84" s="109">
        <v>22</v>
      </c>
      <c r="J84" s="117">
        <v>3.4810126582278479E-2</v>
      </c>
      <c r="K84" s="117">
        <v>0.10992671552298469</v>
      </c>
      <c r="L84" s="109">
        <v>671</v>
      </c>
      <c r="M84" s="109">
        <v>668</v>
      </c>
      <c r="N84" s="109">
        <v>560</v>
      </c>
      <c r="O84" s="109">
        <v>332</v>
      </c>
      <c r="P84" s="109">
        <v>152</v>
      </c>
      <c r="Q84" s="109">
        <v>76</v>
      </c>
      <c r="R84" s="109">
        <v>107</v>
      </c>
      <c r="S84" s="109">
        <v>47</v>
      </c>
      <c r="T84" s="109">
        <v>60</v>
      </c>
      <c r="U84" s="109">
        <v>0</v>
      </c>
      <c r="V84" s="109">
        <v>1</v>
      </c>
      <c r="W84" s="109">
        <v>3</v>
      </c>
      <c r="Y84" s="24">
        <f>(S84+T84)*'space heating'!$C$20</f>
        <v>26.75</v>
      </c>
      <c r="Z84" s="24">
        <f t="shared" si="31"/>
        <v>11.556962025316455</v>
      </c>
      <c r="AA84" s="24">
        <f t="shared" si="32"/>
        <v>5.2911392405063289</v>
      </c>
      <c r="AB84" s="24">
        <f t="shared" si="33"/>
        <v>2.6455696202531644</v>
      </c>
      <c r="AC84" s="24">
        <f>(Z84+AA84)*'space heating'!$C$22</f>
        <v>16.848101265822784</v>
      </c>
      <c r="AD84" s="24">
        <f>AB84*'space heating'!$C$23</f>
        <v>2.6455696202531644</v>
      </c>
      <c r="AE84" s="24">
        <f>(O84+P84-Z84-AA84)*'space heating'!$C$24</f>
        <v>175.18196202531647</v>
      </c>
      <c r="AF84" s="24">
        <f>(O84+P84-Z84-AA84)*'space heating'!$C$25</f>
        <v>175.18196202531647</v>
      </c>
      <c r="AG84" s="24">
        <f>(Q84-AB84)*'space heating'!$C$26</f>
        <v>36.677215189873415</v>
      </c>
      <c r="AH84" s="24">
        <f t="shared" si="34"/>
        <v>192.03006329113924</v>
      </c>
      <c r="AI84" s="24">
        <f t="shared" si="35"/>
        <v>241.25474683544303</v>
      </c>
      <c r="AJ84" s="24">
        <f t="shared" si="41"/>
        <v>0</v>
      </c>
      <c r="AK84" s="24">
        <f t="shared" si="42"/>
        <v>0</v>
      </c>
      <c r="AL84" s="24">
        <f t="shared" si="37"/>
        <v>0</v>
      </c>
      <c r="AM84" s="24">
        <f t="shared" si="38"/>
        <v>0</v>
      </c>
      <c r="AN84" s="24">
        <f t="shared" si="43"/>
        <v>0</v>
      </c>
      <c r="AO84" s="24">
        <f t="shared" si="44"/>
        <v>0</v>
      </c>
      <c r="AP84" s="24">
        <f t="shared" si="45"/>
        <v>0</v>
      </c>
      <c r="AQ84" s="24">
        <f t="shared" si="46"/>
        <v>0</v>
      </c>
    </row>
    <row r="85" spans="1:43">
      <c r="A85" t="s">
        <v>60</v>
      </c>
      <c r="B85" t="s">
        <v>865</v>
      </c>
      <c r="C85" t="s">
        <v>866</v>
      </c>
      <c r="D85" s="117">
        <v>0</v>
      </c>
      <c r="E85" s="109">
        <v>604</v>
      </c>
      <c r="F85" s="109">
        <v>91</v>
      </c>
      <c r="G85" s="117">
        <v>0.13093525179856116</v>
      </c>
      <c r="H85" s="109">
        <v>585</v>
      </c>
      <c r="I85" s="109">
        <v>25</v>
      </c>
      <c r="J85" s="117">
        <v>4.2016806722689079E-2</v>
      </c>
      <c r="K85" s="117">
        <v>0.11625657457227496</v>
      </c>
      <c r="L85" s="109">
        <v>646</v>
      </c>
      <c r="M85" s="109">
        <v>638</v>
      </c>
      <c r="N85" s="109">
        <v>471</v>
      </c>
      <c r="O85" s="109">
        <v>319</v>
      </c>
      <c r="P85" s="109">
        <v>107</v>
      </c>
      <c r="Q85" s="109">
        <v>45</v>
      </c>
      <c r="R85" s="109">
        <v>167</v>
      </c>
      <c r="S85" s="109">
        <v>88</v>
      </c>
      <c r="T85" s="109">
        <v>79</v>
      </c>
      <c r="U85" s="109">
        <v>0</v>
      </c>
      <c r="V85" s="109">
        <v>0</v>
      </c>
      <c r="W85" s="109">
        <v>8</v>
      </c>
      <c r="Y85" s="24">
        <f>(S85+T85)*'space heating'!$C$20</f>
        <v>41.75</v>
      </c>
      <c r="Z85" s="24">
        <f t="shared" si="31"/>
        <v>13.403361344537815</v>
      </c>
      <c r="AA85" s="24">
        <f t="shared" si="32"/>
        <v>4.4957983193277311</v>
      </c>
      <c r="AB85" s="24">
        <f t="shared" si="33"/>
        <v>1.8907563025210086</v>
      </c>
      <c r="AC85" s="24">
        <f>(Z85+AA85)*'space heating'!$C$22</f>
        <v>17.899159663865547</v>
      </c>
      <c r="AD85" s="24">
        <f>AB85*'space heating'!$C$23</f>
        <v>1.8907563025210086</v>
      </c>
      <c r="AE85" s="24">
        <f>(O85+P85-Z85-AA85)*'space heating'!$C$24</f>
        <v>153.03781512605042</v>
      </c>
      <c r="AF85" s="24">
        <f>(O85+P85-Z85-AA85)*'space heating'!$C$25</f>
        <v>153.03781512605042</v>
      </c>
      <c r="AG85" s="24">
        <f>(Q85-AB85)*'space heating'!$C$26</f>
        <v>21.554621848739497</v>
      </c>
      <c r="AH85" s="24">
        <f t="shared" si="34"/>
        <v>170.93697478991595</v>
      </c>
      <c r="AI85" s="24">
        <f t="shared" si="35"/>
        <v>218.2331932773109</v>
      </c>
      <c r="AJ85" s="24">
        <f t="shared" si="41"/>
        <v>0</v>
      </c>
      <c r="AK85" s="24">
        <f t="shared" si="42"/>
        <v>0</v>
      </c>
      <c r="AL85" s="24">
        <f t="shared" si="37"/>
        <v>0</v>
      </c>
      <c r="AM85" s="24">
        <f t="shared" si="38"/>
        <v>0</v>
      </c>
      <c r="AN85" s="24">
        <f t="shared" si="43"/>
        <v>0</v>
      </c>
      <c r="AO85" s="24">
        <f t="shared" si="44"/>
        <v>0</v>
      </c>
      <c r="AP85" s="24">
        <f t="shared" si="45"/>
        <v>0</v>
      </c>
      <c r="AQ85" s="24">
        <f t="shared" si="46"/>
        <v>0</v>
      </c>
    </row>
    <row r="86" spans="1:43">
      <c r="A86" t="s">
        <v>60</v>
      </c>
      <c r="B86" t="s">
        <v>867</v>
      </c>
      <c r="C86" t="s">
        <v>868</v>
      </c>
      <c r="D86" s="117">
        <v>0</v>
      </c>
      <c r="E86" s="109">
        <v>578</v>
      </c>
      <c r="F86" s="109">
        <v>74</v>
      </c>
      <c r="G86" s="117">
        <v>0.11349693251533742</v>
      </c>
      <c r="H86" s="109">
        <v>577</v>
      </c>
      <c r="I86" s="109">
        <v>21</v>
      </c>
      <c r="J86" s="117">
        <v>3.2061068702290078E-2</v>
      </c>
      <c r="K86" s="117">
        <v>8.2969606144335684E-2</v>
      </c>
      <c r="L86" s="109">
        <v>641</v>
      </c>
      <c r="M86" s="109">
        <v>637</v>
      </c>
      <c r="N86" s="109">
        <v>546</v>
      </c>
      <c r="O86" s="109">
        <v>469</v>
      </c>
      <c r="P86" s="109">
        <v>49</v>
      </c>
      <c r="Q86" s="109">
        <v>28</v>
      </c>
      <c r="R86" s="109">
        <v>91</v>
      </c>
      <c r="S86" s="109">
        <v>64</v>
      </c>
      <c r="T86" s="109">
        <v>26</v>
      </c>
      <c r="U86" s="109">
        <v>1</v>
      </c>
      <c r="V86" s="109">
        <v>0</v>
      </c>
      <c r="W86" s="109">
        <v>4</v>
      </c>
      <c r="Y86" s="24">
        <f>(S86+T86)*'space heating'!$C$20</f>
        <v>22.5</v>
      </c>
      <c r="Z86" s="24">
        <f t="shared" si="31"/>
        <v>15.036641221374047</v>
      </c>
      <c r="AA86" s="24">
        <f t="shared" si="32"/>
        <v>1.5709923664122138</v>
      </c>
      <c r="AB86" s="24">
        <f t="shared" si="33"/>
        <v>0.89770992366412217</v>
      </c>
      <c r="AC86" s="24">
        <f>(Z86+AA86)*'space heating'!$C$22</f>
        <v>16.60763358778626</v>
      </c>
      <c r="AD86" s="24">
        <f>AB86*'space heating'!$C$23</f>
        <v>0.89770992366412217</v>
      </c>
      <c r="AE86" s="24">
        <f>(O86+P86-Z86-AA86)*'space heating'!$C$24</f>
        <v>188.02213740458015</v>
      </c>
      <c r="AF86" s="24">
        <f>(O86+P86-Z86-AA86)*'space heating'!$C$25</f>
        <v>188.02213740458015</v>
      </c>
      <c r="AG86" s="24">
        <f>(Q86-AB86)*'space heating'!$C$26</f>
        <v>13.551145038167938</v>
      </c>
      <c r="AH86" s="24">
        <f t="shared" si="34"/>
        <v>204.62977099236642</v>
      </c>
      <c r="AI86" s="24">
        <f t="shared" si="35"/>
        <v>224.97099236641219</v>
      </c>
      <c r="AJ86" s="24">
        <f t="shared" si="41"/>
        <v>0</v>
      </c>
      <c r="AK86" s="24">
        <f t="shared" si="42"/>
        <v>0</v>
      </c>
      <c r="AL86" s="24">
        <f t="shared" si="37"/>
        <v>0</v>
      </c>
      <c r="AM86" s="24">
        <f t="shared" si="38"/>
        <v>0</v>
      </c>
      <c r="AN86" s="24">
        <f t="shared" si="43"/>
        <v>0</v>
      </c>
      <c r="AO86" s="24">
        <f t="shared" si="44"/>
        <v>0</v>
      </c>
      <c r="AP86" s="24">
        <f t="shared" si="45"/>
        <v>0</v>
      </c>
      <c r="AQ86" s="24">
        <f t="shared" si="46"/>
        <v>0</v>
      </c>
    </row>
    <row r="87" spans="1:43">
      <c r="A87" t="s">
        <v>60</v>
      </c>
      <c r="B87" t="s">
        <v>869</v>
      </c>
      <c r="C87" t="s">
        <v>870</v>
      </c>
      <c r="D87" s="117">
        <v>0</v>
      </c>
      <c r="E87" s="109">
        <v>679</v>
      </c>
      <c r="F87" s="109">
        <v>47</v>
      </c>
      <c r="G87" s="117">
        <v>6.4738292011019286E-2</v>
      </c>
      <c r="H87" s="109">
        <v>677</v>
      </c>
      <c r="I87" s="109">
        <v>34</v>
      </c>
      <c r="J87" s="117">
        <v>4.5698924731182797E-2</v>
      </c>
      <c r="K87" s="117">
        <v>2.1794188216475566E-2</v>
      </c>
      <c r="L87" s="109">
        <v>716</v>
      </c>
      <c r="M87" s="109">
        <v>716</v>
      </c>
      <c r="N87" s="109">
        <v>684</v>
      </c>
      <c r="O87" s="109">
        <v>412</v>
      </c>
      <c r="P87" s="109">
        <v>168</v>
      </c>
      <c r="Q87" s="109">
        <v>104</v>
      </c>
      <c r="R87" s="109">
        <v>32</v>
      </c>
      <c r="S87" s="109">
        <v>22</v>
      </c>
      <c r="T87" s="109">
        <v>7</v>
      </c>
      <c r="U87" s="109">
        <v>3</v>
      </c>
      <c r="V87" s="109">
        <v>0</v>
      </c>
      <c r="W87" s="109">
        <v>0</v>
      </c>
      <c r="Y87" s="24">
        <f>(S87+T87)*'space heating'!$C$20</f>
        <v>7.25</v>
      </c>
      <c r="Z87" s="24">
        <f t="shared" si="31"/>
        <v>18.827956989247312</v>
      </c>
      <c r="AA87" s="24">
        <f t="shared" si="32"/>
        <v>7.67741935483871</v>
      </c>
      <c r="AB87" s="24">
        <f t="shared" si="33"/>
        <v>4.752688172043011</v>
      </c>
      <c r="AC87" s="24">
        <f>(Z87+AA87)*'space heating'!$C$22</f>
        <v>26.505376344086024</v>
      </c>
      <c r="AD87" s="24">
        <f>AB87*'space heating'!$C$23</f>
        <v>4.752688172043011</v>
      </c>
      <c r="AE87" s="24">
        <f>(O87+P87-Z87-AA87)*'space heating'!$C$24</f>
        <v>207.56048387096774</v>
      </c>
      <c r="AF87" s="24">
        <f>(O87+P87-Z87-AA87)*'space heating'!$C$25</f>
        <v>207.56048387096774</v>
      </c>
      <c r="AG87" s="24">
        <f>(Q87-AB87)*'space heating'!$C$26</f>
        <v>49.623655913978496</v>
      </c>
      <c r="AH87" s="24">
        <f t="shared" si="34"/>
        <v>234.06586021505376</v>
      </c>
      <c r="AI87" s="24">
        <f t="shared" si="35"/>
        <v>269.18682795698925</v>
      </c>
      <c r="AJ87" s="24">
        <f t="shared" si="41"/>
        <v>0</v>
      </c>
      <c r="AK87" s="24">
        <f t="shared" si="42"/>
        <v>0</v>
      </c>
      <c r="AL87" s="24">
        <f t="shared" si="37"/>
        <v>0</v>
      </c>
      <c r="AM87" s="24">
        <f t="shared" si="38"/>
        <v>0</v>
      </c>
      <c r="AN87" s="24">
        <f t="shared" si="43"/>
        <v>0</v>
      </c>
      <c r="AO87" s="24">
        <f t="shared" si="44"/>
        <v>0</v>
      </c>
      <c r="AP87" s="24">
        <f t="shared" si="45"/>
        <v>0</v>
      </c>
      <c r="AQ87" s="24">
        <f t="shared" si="46"/>
        <v>0</v>
      </c>
    </row>
    <row r="88" spans="1:43">
      <c r="A88" t="s">
        <v>60</v>
      </c>
      <c r="B88" t="s">
        <v>871</v>
      </c>
      <c r="C88" t="s">
        <v>872</v>
      </c>
      <c r="D88" s="117">
        <v>0</v>
      </c>
      <c r="E88" s="109">
        <v>658</v>
      </c>
      <c r="F88" s="109">
        <v>61</v>
      </c>
      <c r="G88" s="117">
        <v>8.4840055632823361E-2</v>
      </c>
      <c r="H88" s="109">
        <v>638</v>
      </c>
      <c r="I88" s="109">
        <v>16</v>
      </c>
      <c r="J88" s="117">
        <v>2.4464831804281346E-2</v>
      </c>
      <c r="K88" s="117">
        <v>8.8191635511434982E-2</v>
      </c>
      <c r="L88" s="109">
        <v>695</v>
      </c>
      <c r="M88" s="109">
        <v>695</v>
      </c>
      <c r="N88" s="109">
        <v>635</v>
      </c>
      <c r="O88" s="109">
        <v>227</v>
      </c>
      <c r="P88" s="109">
        <v>276</v>
      </c>
      <c r="Q88" s="109">
        <v>132</v>
      </c>
      <c r="R88" s="109">
        <v>60</v>
      </c>
      <c r="S88" s="109">
        <v>54</v>
      </c>
      <c r="T88" s="109">
        <v>6</v>
      </c>
      <c r="U88" s="109">
        <v>0</v>
      </c>
      <c r="V88" s="109">
        <v>0</v>
      </c>
      <c r="W88" s="109">
        <v>0</v>
      </c>
      <c r="Y88" s="24">
        <f>(S88+T88)*'space heating'!$C$20</f>
        <v>15</v>
      </c>
      <c r="Z88" s="24">
        <f t="shared" si="31"/>
        <v>5.5535168195718656</v>
      </c>
      <c r="AA88" s="24">
        <f t="shared" si="32"/>
        <v>6.7522935779816518</v>
      </c>
      <c r="AB88" s="24">
        <f t="shared" si="33"/>
        <v>3.2293577981651378</v>
      </c>
      <c r="AC88" s="24">
        <f>(Z88+AA88)*'space heating'!$C$22</f>
        <v>12.305810397553518</v>
      </c>
      <c r="AD88" s="24">
        <f>AB88*'space heating'!$C$23</f>
        <v>3.2293577981651378</v>
      </c>
      <c r="AE88" s="24">
        <f>(O88+P88-Z88-AA88)*'space heating'!$C$24</f>
        <v>184.01032110091742</v>
      </c>
      <c r="AF88" s="24">
        <f>(O88+P88-Z88-AA88)*'space heating'!$C$25</f>
        <v>184.01032110091742</v>
      </c>
      <c r="AG88" s="24">
        <f>(Q88-AB88)*'space heating'!$C$26</f>
        <v>64.385321100917437</v>
      </c>
      <c r="AH88" s="24">
        <f t="shared" si="34"/>
        <v>196.31613149847095</v>
      </c>
      <c r="AI88" s="24">
        <f t="shared" si="35"/>
        <v>266.625</v>
      </c>
      <c r="AJ88" s="24">
        <f>IF($A88="South hams",AH88,0)</f>
        <v>0</v>
      </c>
      <c r="AK88" s="24">
        <f>IF($A88="South hams",AI88,0)</f>
        <v>0</v>
      </c>
      <c r="AL88" s="24">
        <f t="shared" si="37"/>
        <v>0</v>
      </c>
      <c r="AM88" s="24">
        <f t="shared" si="38"/>
        <v>0</v>
      </c>
      <c r="AN88" s="24">
        <f>AH88*$D88</f>
        <v>0</v>
      </c>
      <c r="AO88" s="24">
        <f>AI88*$D88</f>
        <v>0</v>
      </c>
      <c r="AP88" s="24">
        <f>IF(AND($A88="teignbridge",$D88&gt;0),AN88,0)</f>
        <v>0</v>
      </c>
      <c r="AQ88" s="24">
        <f>IF(AND($A88="teignbridge",$D88&gt;0),AO88,0)</f>
        <v>0</v>
      </c>
    </row>
    <row r="89" spans="1:43">
      <c r="A89" t="s">
        <v>60</v>
      </c>
      <c r="B89" t="s">
        <v>873</v>
      </c>
      <c r="C89" t="s">
        <v>874</v>
      </c>
      <c r="D89" s="117">
        <v>0</v>
      </c>
      <c r="E89" s="109">
        <v>558</v>
      </c>
      <c r="F89" s="109">
        <v>119</v>
      </c>
      <c r="G89" s="117">
        <v>0.17577548005908419</v>
      </c>
      <c r="H89" s="109">
        <v>553</v>
      </c>
      <c r="I89" s="109">
        <v>77</v>
      </c>
      <c r="J89" s="117">
        <v>0.11846153846153847</v>
      </c>
      <c r="K89" s="117">
        <v>6.4699465969776201E-2</v>
      </c>
      <c r="L89" s="109">
        <v>639</v>
      </c>
      <c r="M89" s="109">
        <v>639</v>
      </c>
      <c r="N89" s="109">
        <v>561</v>
      </c>
      <c r="O89" s="109">
        <v>121</v>
      </c>
      <c r="P89" s="109">
        <v>260</v>
      </c>
      <c r="Q89" s="109">
        <v>180</v>
      </c>
      <c r="R89" s="109">
        <v>58</v>
      </c>
      <c r="S89" s="109">
        <v>41</v>
      </c>
      <c r="T89" s="109">
        <v>14</v>
      </c>
      <c r="U89" s="109">
        <v>3</v>
      </c>
      <c r="V89" s="109">
        <v>20</v>
      </c>
      <c r="W89" s="109">
        <v>0</v>
      </c>
      <c r="Y89" s="24">
        <f>(S89+T89)*'space heating'!$C$20</f>
        <v>13.75</v>
      </c>
      <c r="Z89" s="24">
        <f t="shared" si="31"/>
        <v>14.333846153846155</v>
      </c>
      <c r="AA89" s="24">
        <f t="shared" si="32"/>
        <v>30.8</v>
      </c>
      <c r="AB89" s="24">
        <f t="shared" si="33"/>
        <v>21.323076923076925</v>
      </c>
      <c r="AC89" s="24">
        <f>(Z89+AA89)*'space heating'!$C$22</f>
        <v>45.133846153846157</v>
      </c>
      <c r="AD89" s="24">
        <f>AB89*'space heating'!$C$23</f>
        <v>21.323076923076925</v>
      </c>
      <c r="AE89" s="24">
        <f>(O89+P89-Z89-AA89)*'space heating'!$C$24</f>
        <v>125.9498076923077</v>
      </c>
      <c r="AF89" s="24">
        <f>(O89+P89-Z89-AA89)*'space heating'!$C$25</f>
        <v>125.9498076923077</v>
      </c>
      <c r="AG89" s="24">
        <f>(Q89-AB89)*'space heating'!$C$26</f>
        <v>79.33846153846153</v>
      </c>
      <c r="AH89" s="24">
        <f t="shared" si="34"/>
        <v>171.08365384615385</v>
      </c>
      <c r="AI89" s="24">
        <f t="shared" si="35"/>
        <v>240.36134615384614</v>
      </c>
      <c r="AJ89" s="24">
        <f t="shared" ref="AJ89:AJ99" si="47">IF($A89="South hams",AH89,0)</f>
        <v>0</v>
      </c>
      <c r="AK89" s="24">
        <f t="shared" ref="AK89:AK99" si="48">IF($A89="South hams",AI89,0)</f>
        <v>0</v>
      </c>
      <c r="AL89" s="24">
        <f t="shared" si="37"/>
        <v>0</v>
      </c>
      <c r="AM89" s="24">
        <f t="shared" si="38"/>
        <v>0</v>
      </c>
      <c r="AN89" s="24">
        <f t="shared" ref="AN89:AN99" si="49">AH89*$D89</f>
        <v>0</v>
      </c>
      <c r="AO89" s="24">
        <f t="shared" ref="AO89:AO99" si="50">AI89*$D89</f>
        <v>0</v>
      </c>
      <c r="AP89" s="24">
        <f t="shared" ref="AP89:AP99" si="51">IF(AND($A89="teignbridge",$D89&gt;0),AN89,0)</f>
        <v>0</v>
      </c>
      <c r="AQ89" s="24">
        <f t="shared" ref="AQ89:AQ99" si="52">IF(AND($A89="teignbridge",$D89&gt;0),AO89,0)</f>
        <v>0</v>
      </c>
    </row>
    <row r="90" spans="1:43">
      <c r="A90" t="s">
        <v>60</v>
      </c>
      <c r="B90" t="s">
        <v>875</v>
      </c>
      <c r="C90" t="s">
        <v>876</v>
      </c>
      <c r="D90" s="117">
        <v>0</v>
      </c>
      <c r="E90" s="109">
        <v>519</v>
      </c>
      <c r="F90" s="109">
        <v>91</v>
      </c>
      <c r="G90" s="117">
        <v>0.14918032786885246</v>
      </c>
      <c r="H90" s="109">
        <v>529</v>
      </c>
      <c r="I90" s="109">
        <v>0</v>
      </c>
      <c r="J90" s="117">
        <v>0</v>
      </c>
      <c r="K90" s="117">
        <v>0.13278688524590165</v>
      </c>
      <c r="L90" s="109">
        <v>593</v>
      </c>
      <c r="M90" s="109">
        <v>593</v>
      </c>
      <c r="N90" s="109">
        <v>569</v>
      </c>
      <c r="O90" s="109">
        <v>245</v>
      </c>
      <c r="P90" s="109">
        <v>171</v>
      </c>
      <c r="Q90" s="109">
        <v>153</v>
      </c>
      <c r="R90" s="109">
        <v>23</v>
      </c>
      <c r="S90" s="109">
        <v>19</v>
      </c>
      <c r="T90" s="109">
        <v>3</v>
      </c>
      <c r="U90" s="109">
        <v>1</v>
      </c>
      <c r="V90" s="109">
        <v>1</v>
      </c>
      <c r="W90" s="109">
        <v>0</v>
      </c>
      <c r="Y90" s="24">
        <f>(S90+T90)*'space heating'!$C$20</f>
        <v>5.5</v>
      </c>
      <c r="Z90" s="24">
        <f t="shared" si="31"/>
        <v>0</v>
      </c>
      <c r="AA90" s="24">
        <f t="shared" si="32"/>
        <v>0</v>
      </c>
      <c r="AB90" s="24">
        <f t="shared" si="33"/>
        <v>0</v>
      </c>
      <c r="AC90" s="24">
        <f>(Z90+AA90)*'space heating'!$C$22</f>
        <v>0</v>
      </c>
      <c r="AD90" s="24">
        <f>AB90*'space heating'!$C$23</f>
        <v>0</v>
      </c>
      <c r="AE90" s="24">
        <f>(O90+P90-Z90-AA90)*'space heating'!$C$24</f>
        <v>156</v>
      </c>
      <c r="AF90" s="24">
        <f>(O90+P90-Z90-AA90)*'space heating'!$C$25</f>
        <v>156</v>
      </c>
      <c r="AG90" s="24">
        <f>(Q90-AB90)*'space heating'!$C$26</f>
        <v>76.5</v>
      </c>
      <c r="AH90" s="24">
        <f t="shared" si="34"/>
        <v>156</v>
      </c>
      <c r="AI90" s="24">
        <f t="shared" si="35"/>
        <v>238</v>
      </c>
      <c r="AJ90" s="24">
        <f t="shared" si="47"/>
        <v>0</v>
      </c>
      <c r="AK90" s="24">
        <f t="shared" si="48"/>
        <v>0</v>
      </c>
      <c r="AL90" s="24">
        <f t="shared" si="37"/>
        <v>0</v>
      </c>
      <c r="AM90" s="24">
        <f t="shared" si="38"/>
        <v>0</v>
      </c>
      <c r="AN90" s="24">
        <f t="shared" si="49"/>
        <v>0</v>
      </c>
      <c r="AO90" s="24">
        <f t="shared" si="50"/>
        <v>0</v>
      </c>
      <c r="AP90" s="24">
        <f t="shared" si="51"/>
        <v>0</v>
      </c>
      <c r="AQ90" s="24">
        <f t="shared" si="52"/>
        <v>0</v>
      </c>
    </row>
    <row r="91" spans="1:43">
      <c r="A91" t="s">
        <v>60</v>
      </c>
      <c r="B91" t="s">
        <v>877</v>
      </c>
      <c r="C91" t="s">
        <v>878</v>
      </c>
      <c r="D91" s="117">
        <v>0</v>
      </c>
      <c r="E91" s="109">
        <v>548</v>
      </c>
      <c r="F91" s="109">
        <v>38</v>
      </c>
      <c r="G91" s="117">
        <v>6.4846416382252553E-2</v>
      </c>
      <c r="H91" s="109">
        <v>569</v>
      </c>
      <c r="I91" s="109">
        <v>0</v>
      </c>
      <c r="J91" s="117">
        <v>0</v>
      </c>
      <c r="K91" s="117">
        <v>2.9010238907849817E-2</v>
      </c>
      <c r="L91" s="109">
        <v>557</v>
      </c>
      <c r="M91" s="109">
        <v>557</v>
      </c>
      <c r="N91" s="109">
        <v>494</v>
      </c>
      <c r="O91" s="109">
        <v>86</v>
      </c>
      <c r="P91" s="109">
        <v>149</v>
      </c>
      <c r="Q91" s="109">
        <v>259</v>
      </c>
      <c r="R91" s="109">
        <v>60</v>
      </c>
      <c r="S91" s="109">
        <v>37</v>
      </c>
      <c r="T91" s="109">
        <v>16</v>
      </c>
      <c r="U91" s="109">
        <v>7</v>
      </c>
      <c r="V91" s="109">
        <v>3</v>
      </c>
      <c r="W91" s="109">
        <v>0</v>
      </c>
      <c r="Y91" s="24">
        <f>(S91+T91)*'space heating'!$C$20</f>
        <v>13.25</v>
      </c>
      <c r="Z91" s="24">
        <f t="shared" si="31"/>
        <v>0</v>
      </c>
      <c r="AA91" s="24">
        <f t="shared" si="32"/>
        <v>0</v>
      </c>
      <c r="AB91" s="24">
        <f t="shared" si="33"/>
        <v>0</v>
      </c>
      <c r="AC91" s="24">
        <f>(Z91+AA91)*'space heating'!$C$22</f>
        <v>0</v>
      </c>
      <c r="AD91" s="24">
        <f>AB91*'space heating'!$C$23</f>
        <v>0</v>
      </c>
      <c r="AE91" s="24">
        <f>(O91+P91-Z91-AA91)*'space heating'!$C$24</f>
        <v>88.125</v>
      </c>
      <c r="AF91" s="24">
        <f>(O91+P91-Z91-AA91)*'space heating'!$C$25</f>
        <v>88.125</v>
      </c>
      <c r="AG91" s="24">
        <f>(Q91-AB91)*'space heating'!$C$26</f>
        <v>129.5</v>
      </c>
      <c r="AH91" s="24">
        <f t="shared" si="34"/>
        <v>88.125</v>
      </c>
      <c r="AI91" s="24">
        <f t="shared" si="35"/>
        <v>230.875</v>
      </c>
      <c r="AJ91" s="24">
        <f t="shared" si="47"/>
        <v>0</v>
      </c>
      <c r="AK91" s="24">
        <f t="shared" si="48"/>
        <v>0</v>
      </c>
      <c r="AL91" s="24">
        <f t="shared" si="37"/>
        <v>0</v>
      </c>
      <c r="AM91" s="24">
        <f t="shared" si="38"/>
        <v>0</v>
      </c>
      <c r="AN91" s="24">
        <f t="shared" si="49"/>
        <v>0</v>
      </c>
      <c r="AO91" s="24">
        <f t="shared" si="50"/>
        <v>0</v>
      </c>
      <c r="AP91" s="24">
        <f t="shared" si="51"/>
        <v>0</v>
      </c>
      <c r="AQ91" s="24">
        <f t="shared" si="52"/>
        <v>0</v>
      </c>
    </row>
    <row r="92" spans="1:43">
      <c r="A92" t="s">
        <v>60</v>
      </c>
      <c r="B92" t="s">
        <v>879</v>
      </c>
      <c r="C92" t="s">
        <v>880</v>
      </c>
      <c r="D92" s="117">
        <v>0</v>
      </c>
      <c r="E92" s="109">
        <v>519</v>
      </c>
      <c r="F92" s="109">
        <v>88</v>
      </c>
      <c r="G92" s="117">
        <v>0.14497528830313014</v>
      </c>
      <c r="H92" s="109">
        <v>535</v>
      </c>
      <c r="I92" s="109">
        <v>56</v>
      </c>
      <c r="J92" s="117">
        <v>8.8188976377952755E-2</v>
      </c>
      <c r="K92" s="117">
        <v>3.0427168597335519E-2</v>
      </c>
      <c r="L92" s="109">
        <v>568</v>
      </c>
      <c r="M92" s="109">
        <v>567</v>
      </c>
      <c r="N92" s="109">
        <v>530</v>
      </c>
      <c r="O92" s="109">
        <v>162</v>
      </c>
      <c r="P92" s="109">
        <v>217</v>
      </c>
      <c r="Q92" s="109">
        <v>151</v>
      </c>
      <c r="R92" s="109">
        <v>26</v>
      </c>
      <c r="S92" s="109">
        <v>13</v>
      </c>
      <c r="T92" s="109">
        <v>7</v>
      </c>
      <c r="U92" s="109">
        <v>6</v>
      </c>
      <c r="V92" s="109">
        <v>11</v>
      </c>
      <c r="W92" s="109">
        <v>1</v>
      </c>
      <c r="Y92" s="24">
        <f>(S92+T92)*'space heating'!$C$20</f>
        <v>5</v>
      </c>
      <c r="Z92" s="24">
        <f t="shared" si="31"/>
        <v>14.286614173228346</v>
      </c>
      <c r="AA92" s="24">
        <f t="shared" si="32"/>
        <v>19.137007874015747</v>
      </c>
      <c r="AB92" s="24">
        <f t="shared" si="33"/>
        <v>13.316535433070866</v>
      </c>
      <c r="AC92" s="24">
        <f>(Z92+AA92)*'space heating'!$C$22</f>
        <v>33.423622047244095</v>
      </c>
      <c r="AD92" s="24">
        <f>AB92*'space heating'!$C$23</f>
        <v>13.316535433070866</v>
      </c>
      <c r="AE92" s="24">
        <f>(O92+P92-Z92-AA92)*'space heating'!$C$24</f>
        <v>129.59114173228346</v>
      </c>
      <c r="AF92" s="24">
        <f>(O92+P92-Z92-AA92)*'space heating'!$C$25</f>
        <v>129.59114173228346</v>
      </c>
      <c r="AG92" s="24">
        <f>(Q92-AB92)*'space heating'!$C$26</f>
        <v>68.841732283464566</v>
      </c>
      <c r="AH92" s="24">
        <f t="shared" si="34"/>
        <v>163.01476377952756</v>
      </c>
      <c r="AI92" s="24">
        <f t="shared" si="35"/>
        <v>216.74940944881888</v>
      </c>
      <c r="AJ92" s="24">
        <f t="shared" si="47"/>
        <v>0</v>
      </c>
      <c r="AK92" s="24">
        <f t="shared" si="48"/>
        <v>0</v>
      </c>
      <c r="AL92" s="24">
        <f t="shared" si="37"/>
        <v>0</v>
      </c>
      <c r="AM92" s="24">
        <f t="shared" si="38"/>
        <v>0</v>
      </c>
      <c r="AN92" s="24">
        <f t="shared" si="49"/>
        <v>0</v>
      </c>
      <c r="AO92" s="24">
        <f t="shared" si="50"/>
        <v>0</v>
      </c>
      <c r="AP92" s="24">
        <f t="shared" si="51"/>
        <v>0</v>
      </c>
      <c r="AQ92" s="24">
        <f t="shared" si="52"/>
        <v>0</v>
      </c>
    </row>
    <row r="93" spans="1:43">
      <c r="A93" t="s">
        <v>60</v>
      </c>
      <c r="B93" t="s">
        <v>881</v>
      </c>
      <c r="C93" t="s">
        <v>882</v>
      </c>
      <c r="D93" s="117">
        <v>0</v>
      </c>
      <c r="E93" s="109">
        <v>499</v>
      </c>
      <c r="F93" s="109">
        <v>25</v>
      </c>
      <c r="G93" s="117">
        <v>4.7709923664122141E-2</v>
      </c>
      <c r="H93" s="109">
        <v>505</v>
      </c>
      <c r="I93" s="109">
        <v>0</v>
      </c>
      <c r="J93" s="117">
        <v>0</v>
      </c>
      <c r="K93" s="117">
        <v>3.6259541984732802E-2</v>
      </c>
      <c r="L93" s="109">
        <v>501</v>
      </c>
      <c r="M93" s="109">
        <v>501</v>
      </c>
      <c r="N93" s="109">
        <v>492</v>
      </c>
      <c r="O93" s="109">
        <v>348</v>
      </c>
      <c r="P93" s="109">
        <v>91</v>
      </c>
      <c r="Q93" s="109">
        <v>53</v>
      </c>
      <c r="R93" s="109">
        <v>9</v>
      </c>
      <c r="S93" s="109">
        <v>3</v>
      </c>
      <c r="T93" s="109">
        <v>4</v>
      </c>
      <c r="U93" s="109">
        <v>2</v>
      </c>
      <c r="V93" s="109">
        <v>0</v>
      </c>
      <c r="W93" s="109">
        <v>0</v>
      </c>
      <c r="Y93" s="24">
        <f>(S93+T93)*'space heating'!$C$20</f>
        <v>1.75</v>
      </c>
      <c r="Z93" s="24">
        <f t="shared" si="31"/>
        <v>0</v>
      </c>
      <c r="AA93" s="24">
        <f t="shared" si="32"/>
        <v>0</v>
      </c>
      <c r="AB93" s="24">
        <f t="shared" si="33"/>
        <v>0</v>
      </c>
      <c r="AC93" s="24">
        <f>(Z93+AA93)*'space heating'!$C$22</f>
        <v>0</v>
      </c>
      <c r="AD93" s="24">
        <f>AB93*'space heating'!$C$23</f>
        <v>0</v>
      </c>
      <c r="AE93" s="24">
        <f>(O93+P93-Z93-AA93)*'space heating'!$C$24</f>
        <v>164.625</v>
      </c>
      <c r="AF93" s="24">
        <f>(O93+P93-Z93-AA93)*'space heating'!$C$25</f>
        <v>164.625</v>
      </c>
      <c r="AG93" s="24">
        <f>(Q93-AB93)*'space heating'!$C$26</f>
        <v>26.5</v>
      </c>
      <c r="AH93" s="24">
        <f t="shared" si="34"/>
        <v>164.625</v>
      </c>
      <c r="AI93" s="24">
        <f t="shared" si="35"/>
        <v>192.875</v>
      </c>
      <c r="AJ93" s="24">
        <f t="shared" si="47"/>
        <v>0</v>
      </c>
      <c r="AK93" s="24">
        <f t="shared" si="48"/>
        <v>0</v>
      </c>
      <c r="AL93" s="24">
        <f t="shared" si="37"/>
        <v>0</v>
      </c>
      <c r="AM93" s="24">
        <f t="shared" si="38"/>
        <v>0</v>
      </c>
      <c r="AN93" s="24">
        <f t="shared" si="49"/>
        <v>0</v>
      </c>
      <c r="AO93" s="24">
        <f t="shared" si="50"/>
        <v>0</v>
      </c>
      <c r="AP93" s="24">
        <f t="shared" si="51"/>
        <v>0</v>
      </c>
      <c r="AQ93" s="24">
        <f t="shared" si="52"/>
        <v>0</v>
      </c>
    </row>
    <row r="94" spans="1:43">
      <c r="A94" t="s">
        <v>60</v>
      </c>
      <c r="B94" t="s">
        <v>883</v>
      </c>
      <c r="C94" t="s">
        <v>884</v>
      </c>
      <c r="D94" s="117">
        <v>0</v>
      </c>
      <c r="E94" s="109">
        <v>600</v>
      </c>
      <c r="F94" s="109">
        <v>171</v>
      </c>
      <c r="G94" s="117">
        <v>0.22178988326848248</v>
      </c>
      <c r="H94" s="109">
        <v>564</v>
      </c>
      <c r="I94" s="109">
        <v>27</v>
      </c>
      <c r="J94" s="117">
        <v>4.1033434650455926E-2</v>
      </c>
      <c r="K94" s="117">
        <v>0.22744905562191767</v>
      </c>
      <c r="L94" s="109">
        <v>677</v>
      </c>
      <c r="M94" s="109">
        <v>671</v>
      </c>
      <c r="N94" s="109">
        <v>363</v>
      </c>
      <c r="O94" s="109">
        <v>63</v>
      </c>
      <c r="P94" s="109">
        <v>88</v>
      </c>
      <c r="Q94" s="109">
        <v>212</v>
      </c>
      <c r="R94" s="109">
        <v>308</v>
      </c>
      <c r="S94" s="109">
        <v>198</v>
      </c>
      <c r="T94" s="109">
        <v>104</v>
      </c>
      <c r="U94" s="109">
        <v>6</v>
      </c>
      <c r="V94" s="109">
        <v>0</v>
      </c>
      <c r="W94" s="109">
        <v>6</v>
      </c>
      <c r="Y94" s="24">
        <f>(S94+T94)*'space heating'!$C$20</f>
        <v>75.5</v>
      </c>
      <c r="Z94" s="24">
        <f t="shared" si="31"/>
        <v>2.5851063829787235</v>
      </c>
      <c r="AA94" s="24">
        <f t="shared" si="32"/>
        <v>3.6109422492401215</v>
      </c>
      <c r="AB94" s="24">
        <f t="shared" si="33"/>
        <v>8.6990881458966562</v>
      </c>
      <c r="AC94" s="24">
        <f>(Z94+AA94)*'space heating'!$C$22</f>
        <v>6.1960486322188455</v>
      </c>
      <c r="AD94" s="24">
        <f>AB94*'space heating'!$C$23</f>
        <v>8.6990881458966562</v>
      </c>
      <c r="AE94" s="24">
        <f>(O94+P94-Z94-AA94)*'space heating'!$C$24</f>
        <v>54.301481762917938</v>
      </c>
      <c r="AF94" s="24">
        <f>(O94+P94-Z94-AA94)*'space heating'!$C$25</f>
        <v>54.301481762917938</v>
      </c>
      <c r="AG94" s="24">
        <f>(Q94-AB94)*'space heating'!$C$26</f>
        <v>101.65045592705167</v>
      </c>
      <c r="AH94" s="24">
        <f t="shared" si="34"/>
        <v>60.497530395136785</v>
      </c>
      <c r="AI94" s="24">
        <f t="shared" si="35"/>
        <v>240.15102583586625</v>
      </c>
      <c r="AJ94" s="24">
        <f t="shared" si="47"/>
        <v>0</v>
      </c>
      <c r="AK94" s="24">
        <f t="shared" si="48"/>
        <v>0</v>
      </c>
      <c r="AL94" s="24">
        <f t="shared" si="37"/>
        <v>0</v>
      </c>
      <c r="AM94" s="24">
        <f t="shared" si="38"/>
        <v>0</v>
      </c>
      <c r="AN94" s="24">
        <f t="shared" si="49"/>
        <v>0</v>
      </c>
      <c r="AO94" s="24">
        <f t="shared" si="50"/>
        <v>0</v>
      </c>
      <c r="AP94" s="24">
        <f t="shared" si="51"/>
        <v>0</v>
      </c>
      <c r="AQ94" s="24">
        <f t="shared" si="52"/>
        <v>0</v>
      </c>
    </row>
    <row r="95" spans="1:43">
      <c r="A95" t="s">
        <v>60</v>
      </c>
      <c r="B95" t="s">
        <v>885</v>
      </c>
      <c r="C95" t="s">
        <v>886</v>
      </c>
      <c r="D95" s="117">
        <v>0</v>
      </c>
      <c r="E95" s="109">
        <v>890</v>
      </c>
      <c r="F95" s="109">
        <v>529</v>
      </c>
      <c r="G95" s="117">
        <v>0.37279774489076817</v>
      </c>
      <c r="H95" s="109">
        <v>744</v>
      </c>
      <c r="I95" s="109">
        <v>152</v>
      </c>
      <c r="J95" s="117">
        <v>0.13830755232029118</v>
      </c>
      <c r="K95" s="117">
        <v>0.3373795512737891</v>
      </c>
      <c r="L95" s="109">
        <v>1158</v>
      </c>
      <c r="M95" s="109">
        <v>1150</v>
      </c>
      <c r="N95" s="109">
        <v>242</v>
      </c>
      <c r="O95" s="109">
        <v>19</v>
      </c>
      <c r="P95" s="109">
        <v>53</v>
      </c>
      <c r="Q95" s="109">
        <v>170</v>
      </c>
      <c r="R95" s="109">
        <v>908</v>
      </c>
      <c r="S95" s="109">
        <v>516</v>
      </c>
      <c r="T95" s="109">
        <v>269</v>
      </c>
      <c r="U95" s="109">
        <v>123</v>
      </c>
      <c r="V95" s="109">
        <v>0</v>
      </c>
      <c r="W95" s="109">
        <v>8</v>
      </c>
      <c r="Y95" s="24">
        <f>(S95+T95)*'space heating'!$C$20</f>
        <v>196.25</v>
      </c>
      <c r="Z95" s="24">
        <f t="shared" si="31"/>
        <v>2.6278434940855324</v>
      </c>
      <c r="AA95" s="24">
        <f t="shared" si="32"/>
        <v>7.3303002729754327</v>
      </c>
      <c r="AB95" s="24">
        <f t="shared" si="33"/>
        <v>23.512283894449499</v>
      </c>
      <c r="AC95" s="24">
        <f>(Z95+AA95)*'space heating'!$C$22</f>
        <v>9.9581437670609656</v>
      </c>
      <c r="AD95" s="24">
        <f>AB95*'space heating'!$C$23</f>
        <v>23.512283894449499</v>
      </c>
      <c r="AE95" s="24">
        <f>(O95+P95-Z95-AA95)*'space heating'!$C$24</f>
        <v>23.265696087352133</v>
      </c>
      <c r="AF95" s="24">
        <f>(O95+P95-Z95-AA95)*'space heating'!$C$25</f>
        <v>23.265696087352133</v>
      </c>
      <c r="AG95" s="24">
        <f>(Q95-AB95)*'space heating'!$C$26</f>
        <v>73.243858052775252</v>
      </c>
      <c r="AH95" s="24">
        <f t="shared" si="34"/>
        <v>33.2238398544131</v>
      </c>
      <c r="AI95" s="24">
        <f t="shared" si="35"/>
        <v>316.27183803457689</v>
      </c>
      <c r="AJ95" s="24">
        <f t="shared" si="47"/>
        <v>0</v>
      </c>
      <c r="AK95" s="24">
        <f t="shared" si="48"/>
        <v>0</v>
      </c>
      <c r="AL95" s="24">
        <f t="shared" si="37"/>
        <v>0</v>
      </c>
      <c r="AM95" s="24">
        <f t="shared" si="38"/>
        <v>0</v>
      </c>
      <c r="AN95" s="24">
        <f t="shared" si="49"/>
        <v>0</v>
      </c>
      <c r="AO95" s="24">
        <f t="shared" si="50"/>
        <v>0</v>
      </c>
      <c r="AP95" s="24">
        <f t="shared" si="51"/>
        <v>0</v>
      </c>
      <c r="AQ95" s="24">
        <f t="shared" si="52"/>
        <v>0</v>
      </c>
    </row>
    <row r="96" spans="1:43">
      <c r="A96" t="s">
        <v>60</v>
      </c>
      <c r="B96" t="s">
        <v>887</v>
      </c>
      <c r="C96" t="s">
        <v>888</v>
      </c>
      <c r="D96" s="117">
        <v>0</v>
      </c>
      <c r="E96" s="109">
        <v>550</v>
      </c>
      <c r="F96" s="109">
        <v>138</v>
      </c>
      <c r="G96" s="117">
        <v>0.2005813953488372</v>
      </c>
      <c r="H96" s="109">
        <v>569</v>
      </c>
      <c r="I96" s="109">
        <v>25</v>
      </c>
      <c r="J96" s="117">
        <v>3.5612535612535613E-2</v>
      </c>
      <c r="K96" s="117">
        <v>0.13735258066653414</v>
      </c>
      <c r="L96" s="109">
        <v>674</v>
      </c>
      <c r="M96" s="109">
        <v>671</v>
      </c>
      <c r="N96" s="109">
        <v>442</v>
      </c>
      <c r="O96" s="109">
        <v>42</v>
      </c>
      <c r="P96" s="109">
        <v>98</v>
      </c>
      <c r="Q96" s="109">
        <v>302</v>
      </c>
      <c r="R96" s="109">
        <v>228</v>
      </c>
      <c r="S96" s="109">
        <v>130</v>
      </c>
      <c r="T96" s="109">
        <v>91</v>
      </c>
      <c r="U96" s="109">
        <v>7</v>
      </c>
      <c r="V96" s="109">
        <v>1</v>
      </c>
      <c r="W96" s="109">
        <v>3</v>
      </c>
      <c r="Y96" s="24">
        <f>(S96+T96)*'space heating'!$C$20</f>
        <v>55.25</v>
      </c>
      <c r="Z96" s="24">
        <f t="shared" si="31"/>
        <v>1.4957264957264957</v>
      </c>
      <c r="AA96" s="24">
        <f t="shared" si="32"/>
        <v>3.4900284900284899</v>
      </c>
      <c r="AB96" s="24">
        <f t="shared" si="33"/>
        <v>10.754985754985755</v>
      </c>
      <c r="AC96" s="24">
        <f>(Z96+AA96)*'space heating'!$C$22</f>
        <v>4.9857549857549852</v>
      </c>
      <c r="AD96" s="24">
        <f>AB96*'space heating'!$C$23</f>
        <v>10.754985754985755</v>
      </c>
      <c r="AE96" s="24">
        <f>(O96+P96-Z96-AA96)*'space heating'!$C$24</f>
        <v>50.630341880341874</v>
      </c>
      <c r="AF96" s="24">
        <f>(O96+P96-Z96-AA96)*'space heating'!$C$25</f>
        <v>50.630341880341874</v>
      </c>
      <c r="AG96" s="24">
        <f>(Q96-AB96)*'space heating'!$C$26</f>
        <v>145.62250712250713</v>
      </c>
      <c r="AH96" s="24">
        <f t="shared" si="34"/>
        <v>55.616096866096861</v>
      </c>
      <c r="AI96" s="24">
        <f t="shared" si="35"/>
        <v>262.25783475783476</v>
      </c>
      <c r="AJ96" s="24">
        <f t="shared" si="47"/>
        <v>0</v>
      </c>
      <c r="AK96" s="24">
        <f t="shared" si="48"/>
        <v>0</v>
      </c>
      <c r="AL96" s="24">
        <f t="shared" si="37"/>
        <v>0</v>
      </c>
      <c r="AM96" s="24">
        <f t="shared" si="38"/>
        <v>0</v>
      </c>
      <c r="AN96" s="24">
        <f t="shared" si="49"/>
        <v>0</v>
      </c>
      <c r="AO96" s="24">
        <f t="shared" si="50"/>
        <v>0</v>
      </c>
      <c r="AP96" s="24">
        <f t="shared" si="51"/>
        <v>0</v>
      </c>
      <c r="AQ96" s="24">
        <f t="shared" si="52"/>
        <v>0</v>
      </c>
    </row>
    <row r="97" spans="1:43">
      <c r="A97" t="s">
        <v>60</v>
      </c>
      <c r="B97" t="s">
        <v>889</v>
      </c>
      <c r="C97" t="s">
        <v>890</v>
      </c>
      <c r="D97" s="117">
        <v>0</v>
      </c>
      <c r="E97" s="109">
        <v>663</v>
      </c>
      <c r="F97" s="109">
        <v>145</v>
      </c>
      <c r="G97" s="117">
        <v>0.17945544554455445</v>
      </c>
      <c r="H97" s="109">
        <v>746</v>
      </c>
      <c r="I97" s="109">
        <v>0</v>
      </c>
      <c r="J97" s="117">
        <v>0</v>
      </c>
      <c r="K97" s="117">
        <v>7.673267326732669E-2</v>
      </c>
      <c r="L97" s="109">
        <v>759</v>
      </c>
      <c r="M97" s="109">
        <v>759</v>
      </c>
      <c r="N97" s="109">
        <v>552</v>
      </c>
      <c r="O97" s="109">
        <v>94</v>
      </c>
      <c r="P97" s="109">
        <v>255</v>
      </c>
      <c r="Q97" s="109">
        <v>203</v>
      </c>
      <c r="R97" s="109">
        <v>207</v>
      </c>
      <c r="S97" s="109">
        <v>178</v>
      </c>
      <c r="T97" s="109">
        <v>23</v>
      </c>
      <c r="U97" s="109">
        <v>6</v>
      </c>
      <c r="V97" s="109">
        <v>0</v>
      </c>
      <c r="W97" s="109">
        <v>0</v>
      </c>
      <c r="Y97" s="24">
        <f>(S97+T97)*'space heating'!$C$20</f>
        <v>50.25</v>
      </c>
      <c r="Z97" s="24">
        <f t="shared" si="31"/>
        <v>0</v>
      </c>
      <c r="AA97" s="24">
        <f t="shared" si="32"/>
        <v>0</v>
      </c>
      <c r="AB97" s="24">
        <f t="shared" si="33"/>
        <v>0</v>
      </c>
      <c r="AC97" s="24">
        <f>(Z97+AA97)*'space heating'!$C$22</f>
        <v>0</v>
      </c>
      <c r="AD97" s="24">
        <f>AB97*'space heating'!$C$23</f>
        <v>0</v>
      </c>
      <c r="AE97" s="24">
        <f>(O97+P97-Z97-AA97)*'space heating'!$C$24</f>
        <v>130.875</v>
      </c>
      <c r="AF97" s="24">
        <f>(O97+P97-Z97-AA97)*'space heating'!$C$25</f>
        <v>130.875</v>
      </c>
      <c r="AG97" s="24">
        <f>(Q97-AB97)*'space heating'!$C$26</f>
        <v>101.5</v>
      </c>
      <c r="AH97" s="24">
        <f t="shared" si="34"/>
        <v>130.875</v>
      </c>
      <c r="AI97" s="24">
        <f t="shared" si="35"/>
        <v>282.625</v>
      </c>
      <c r="AJ97" s="24">
        <f t="shared" si="47"/>
        <v>0</v>
      </c>
      <c r="AK97" s="24">
        <f t="shared" si="48"/>
        <v>0</v>
      </c>
      <c r="AL97" s="24">
        <f t="shared" si="37"/>
        <v>0</v>
      </c>
      <c r="AM97" s="24">
        <f t="shared" si="38"/>
        <v>0</v>
      </c>
      <c r="AN97" s="24">
        <f t="shared" si="49"/>
        <v>0</v>
      </c>
      <c r="AO97" s="24">
        <f t="shared" si="50"/>
        <v>0</v>
      </c>
      <c r="AP97" s="24">
        <f t="shared" si="51"/>
        <v>0</v>
      </c>
      <c r="AQ97" s="24">
        <f t="shared" si="52"/>
        <v>0</v>
      </c>
    </row>
    <row r="98" spans="1:43">
      <c r="A98" t="s">
        <v>60</v>
      </c>
      <c r="B98" t="s">
        <v>891</v>
      </c>
      <c r="C98" t="s">
        <v>892</v>
      </c>
      <c r="D98" s="117">
        <v>0</v>
      </c>
      <c r="E98" s="109">
        <v>515</v>
      </c>
      <c r="F98" s="109">
        <v>80</v>
      </c>
      <c r="G98" s="117">
        <v>0.13445378151260504</v>
      </c>
      <c r="H98" s="109">
        <v>445</v>
      </c>
      <c r="I98" s="109">
        <v>77</v>
      </c>
      <c r="J98" s="117">
        <v>0.14666666666666667</v>
      </c>
      <c r="K98" s="117">
        <v>0.10543417366946778</v>
      </c>
      <c r="L98" s="109">
        <v>521</v>
      </c>
      <c r="M98" s="109">
        <v>521</v>
      </c>
      <c r="N98" s="109">
        <v>470</v>
      </c>
      <c r="O98" s="109">
        <v>249</v>
      </c>
      <c r="P98" s="109">
        <v>90</v>
      </c>
      <c r="Q98" s="109">
        <v>131</v>
      </c>
      <c r="R98" s="109">
        <v>50</v>
      </c>
      <c r="S98" s="109">
        <v>18</v>
      </c>
      <c r="T98" s="109">
        <v>28</v>
      </c>
      <c r="U98" s="109">
        <v>4</v>
      </c>
      <c r="V98" s="109">
        <v>1</v>
      </c>
      <c r="W98" s="109">
        <v>0</v>
      </c>
      <c r="Y98" s="24">
        <f>(S98+T98)*'space heating'!$C$20</f>
        <v>11.5</v>
      </c>
      <c r="Z98" s="24">
        <f t="shared" si="31"/>
        <v>36.520000000000003</v>
      </c>
      <c r="AA98" s="24">
        <f t="shared" si="32"/>
        <v>13.2</v>
      </c>
      <c r="AB98" s="24">
        <f t="shared" si="33"/>
        <v>19.213333333333335</v>
      </c>
      <c r="AC98" s="24">
        <f>(Z98+AA98)*'space heating'!$C$22</f>
        <v>49.72</v>
      </c>
      <c r="AD98" s="24">
        <f>AB98*'space heating'!$C$23</f>
        <v>19.213333333333335</v>
      </c>
      <c r="AE98" s="24">
        <f>(O98+P98-Z98-AA98)*'space heating'!$C$24</f>
        <v>108.48000000000002</v>
      </c>
      <c r="AF98" s="24">
        <f>(O98+P98-Z98-AA98)*'space heating'!$C$25</f>
        <v>108.48000000000002</v>
      </c>
      <c r="AG98" s="24">
        <f>(Q98-AB98)*'space heating'!$C$26</f>
        <v>55.893333333333331</v>
      </c>
      <c r="AH98" s="24">
        <f t="shared" si="34"/>
        <v>158.20000000000002</v>
      </c>
      <c r="AI98" s="24">
        <f t="shared" si="35"/>
        <v>195.0866666666667</v>
      </c>
      <c r="AJ98" s="24">
        <f t="shared" si="47"/>
        <v>0</v>
      </c>
      <c r="AK98" s="24">
        <f t="shared" si="48"/>
        <v>0</v>
      </c>
      <c r="AL98" s="24">
        <f t="shared" si="37"/>
        <v>0</v>
      </c>
      <c r="AM98" s="24">
        <f t="shared" si="38"/>
        <v>0</v>
      </c>
      <c r="AN98" s="24">
        <f t="shared" si="49"/>
        <v>0</v>
      </c>
      <c r="AO98" s="24">
        <f t="shared" si="50"/>
        <v>0</v>
      </c>
      <c r="AP98" s="24">
        <f t="shared" si="51"/>
        <v>0</v>
      </c>
      <c r="AQ98" s="24">
        <f t="shared" si="52"/>
        <v>0</v>
      </c>
    </row>
    <row r="99" spans="1:43">
      <c r="A99" t="s">
        <v>60</v>
      </c>
      <c r="B99" t="s">
        <v>893</v>
      </c>
      <c r="C99" t="s">
        <v>894</v>
      </c>
      <c r="D99" s="117">
        <v>0</v>
      </c>
      <c r="E99" s="109">
        <v>697</v>
      </c>
      <c r="F99" s="109">
        <v>41</v>
      </c>
      <c r="G99" s="117">
        <v>5.5555555555555552E-2</v>
      </c>
      <c r="H99" s="109">
        <v>589</v>
      </c>
      <c r="I99" s="109">
        <v>69</v>
      </c>
      <c r="J99" s="117">
        <v>0.10518292682926829</v>
      </c>
      <c r="K99" s="117">
        <v>9.6714092140921457E-2</v>
      </c>
      <c r="L99" s="109">
        <v>695</v>
      </c>
      <c r="M99" s="109">
        <v>695</v>
      </c>
      <c r="N99" s="109">
        <v>625</v>
      </c>
      <c r="O99" s="109">
        <v>484</v>
      </c>
      <c r="P99" s="109">
        <v>92</v>
      </c>
      <c r="Q99" s="109">
        <v>49</v>
      </c>
      <c r="R99" s="109">
        <v>13</v>
      </c>
      <c r="S99" s="109">
        <v>6</v>
      </c>
      <c r="T99" s="109">
        <v>6</v>
      </c>
      <c r="U99" s="109">
        <v>1</v>
      </c>
      <c r="V99" s="109">
        <v>57</v>
      </c>
      <c r="W99" s="109">
        <v>0</v>
      </c>
      <c r="Y99" s="24">
        <f>(S99+T99)*'space heating'!$C$20</f>
        <v>3</v>
      </c>
      <c r="Z99" s="24">
        <f t="shared" si="31"/>
        <v>50.908536585365852</v>
      </c>
      <c r="AA99" s="24">
        <f t="shared" si="32"/>
        <v>9.676829268292682</v>
      </c>
      <c r="AB99" s="24">
        <f t="shared" si="33"/>
        <v>5.1539634146341458</v>
      </c>
      <c r="AC99" s="24">
        <f>(Z99+AA99)*'space heating'!$C$22</f>
        <v>60.58536585365853</v>
      </c>
      <c r="AD99" s="24">
        <f>AB99*'space heating'!$C$23</f>
        <v>5.1539634146341458</v>
      </c>
      <c r="AE99" s="24">
        <f>(O99+P99-Z99-AA99)*'space heating'!$C$24</f>
        <v>193.28048780487808</v>
      </c>
      <c r="AF99" s="24">
        <f>(O99+P99-Z99-AA99)*'space heating'!$C$25</f>
        <v>193.28048780487808</v>
      </c>
      <c r="AG99" s="24">
        <f>(Q99-AB99)*'space heating'!$C$26</f>
        <v>21.923018292682926</v>
      </c>
      <c r="AH99" s="24">
        <f t="shared" si="34"/>
        <v>253.86585365853659</v>
      </c>
      <c r="AI99" s="24">
        <f t="shared" si="35"/>
        <v>223.35746951219517</v>
      </c>
      <c r="AJ99" s="24">
        <f t="shared" si="47"/>
        <v>0</v>
      </c>
      <c r="AK99" s="24">
        <f t="shared" si="48"/>
        <v>0</v>
      </c>
      <c r="AL99" s="24">
        <f t="shared" si="37"/>
        <v>0</v>
      </c>
      <c r="AM99" s="24">
        <f t="shared" si="38"/>
        <v>0</v>
      </c>
      <c r="AN99" s="24">
        <f t="shared" si="49"/>
        <v>0</v>
      </c>
      <c r="AO99" s="24">
        <f t="shared" si="50"/>
        <v>0</v>
      </c>
      <c r="AP99" s="24">
        <f t="shared" si="51"/>
        <v>0</v>
      </c>
      <c r="AQ99" s="24">
        <f t="shared" si="52"/>
        <v>0</v>
      </c>
    </row>
    <row r="100" spans="1:43">
      <c r="A100" t="s">
        <v>60</v>
      </c>
      <c r="B100" t="s">
        <v>895</v>
      </c>
      <c r="C100" t="s">
        <v>896</v>
      </c>
      <c r="D100" s="117">
        <v>0</v>
      </c>
      <c r="E100" s="109">
        <v>506</v>
      </c>
      <c r="F100" s="109">
        <v>110</v>
      </c>
      <c r="G100" s="117">
        <v>0.17857142857142858</v>
      </c>
      <c r="H100" s="109">
        <v>379</v>
      </c>
      <c r="I100" s="109">
        <v>201</v>
      </c>
      <c r="J100" s="117">
        <v>0.34895833333333331</v>
      </c>
      <c r="K100" s="117">
        <v>3.5781926406926401E-2</v>
      </c>
      <c r="L100" s="109">
        <v>576</v>
      </c>
      <c r="M100" s="109">
        <v>576</v>
      </c>
      <c r="N100" s="109">
        <v>535</v>
      </c>
      <c r="O100" s="109">
        <v>340</v>
      </c>
      <c r="P100" s="109">
        <v>141</v>
      </c>
      <c r="Q100" s="109">
        <v>54</v>
      </c>
      <c r="R100" s="109">
        <v>34</v>
      </c>
      <c r="S100" s="109">
        <v>23</v>
      </c>
      <c r="T100" s="109">
        <v>11</v>
      </c>
      <c r="U100" s="109">
        <v>0</v>
      </c>
      <c r="V100" s="109">
        <v>7</v>
      </c>
      <c r="W100" s="109">
        <v>0</v>
      </c>
      <c r="Y100" s="24">
        <f>(S100+T100)*'space heating'!$C$20</f>
        <v>8.5</v>
      </c>
      <c r="Z100" s="24">
        <f t="shared" si="31"/>
        <v>118.64583333333333</v>
      </c>
      <c r="AA100" s="24">
        <f t="shared" si="32"/>
        <v>49.203125</v>
      </c>
      <c r="AB100" s="24">
        <f t="shared" si="33"/>
        <v>18.84375</v>
      </c>
      <c r="AC100" s="24">
        <f>(Z100+AA100)*'space heating'!$C$22</f>
        <v>167.84895833333331</v>
      </c>
      <c r="AD100" s="24">
        <f>AB100*'space heating'!$C$23</f>
        <v>18.84375</v>
      </c>
      <c r="AE100" s="24">
        <f>(O100+P100-Z100-AA100)*'space heating'!$C$24</f>
        <v>117.431640625</v>
      </c>
      <c r="AF100" s="24">
        <f>(O100+P100-Z100-AA100)*'space heating'!$C$25</f>
        <v>117.431640625</v>
      </c>
      <c r="AG100" s="24">
        <f>(Q100-AB100)*'space heating'!$C$26</f>
        <v>17.578125</v>
      </c>
      <c r="AH100" s="24">
        <f t="shared" si="34"/>
        <v>285.28059895833331</v>
      </c>
      <c r="AI100" s="24">
        <f t="shared" si="35"/>
        <v>162.353515625</v>
      </c>
      <c r="AJ100" s="24">
        <f>IF($A100="South hams",AH100,0)</f>
        <v>0</v>
      </c>
      <c r="AK100" s="24">
        <f>IF($A100="South hams",AI100,0)</f>
        <v>0</v>
      </c>
      <c r="AL100" s="24">
        <f t="shared" si="37"/>
        <v>0</v>
      </c>
      <c r="AM100" s="24">
        <f t="shared" si="38"/>
        <v>0</v>
      </c>
      <c r="AN100" s="24">
        <f>AH100*$D100</f>
        <v>0</v>
      </c>
      <c r="AO100" s="24">
        <f>AI100*$D100</f>
        <v>0</v>
      </c>
      <c r="AP100" s="24">
        <f>IF(AND($A100="teignbridge",$D100&gt;0),AN100,0)</f>
        <v>0</v>
      </c>
      <c r="AQ100" s="24">
        <f>IF(AND($A100="teignbridge",$D100&gt;0),AO100,0)</f>
        <v>0</v>
      </c>
    </row>
    <row r="101" spans="1:43">
      <c r="A101" t="s">
        <v>60</v>
      </c>
      <c r="B101" t="s">
        <v>897</v>
      </c>
      <c r="C101" t="s">
        <v>898</v>
      </c>
      <c r="D101" s="117">
        <v>0</v>
      </c>
      <c r="E101" s="109">
        <v>756</v>
      </c>
      <c r="F101" s="109">
        <v>98</v>
      </c>
      <c r="G101" s="117">
        <v>0.11475409836065574</v>
      </c>
      <c r="H101" s="109">
        <v>716</v>
      </c>
      <c r="I101" s="109">
        <v>18</v>
      </c>
      <c r="J101" s="117">
        <v>2.356020942408377E-2</v>
      </c>
      <c r="K101" s="117">
        <v>0.13803229643071713</v>
      </c>
      <c r="L101" s="109">
        <v>628</v>
      </c>
      <c r="M101" s="109">
        <v>626</v>
      </c>
      <c r="N101" s="109">
        <v>548</v>
      </c>
      <c r="O101" s="109">
        <v>231</v>
      </c>
      <c r="P101" s="109">
        <v>126</v>
      </c>
      <c r="Q101" s="109">
        <v>191</v>
      </c>
      <c r="R101" s="109">
        <v>78</v>
      </c>
      <c r="S101" s="109">
        <v>18</v>
      </c>
      <c r="T101" s="109">
        <v>47</v>
      </c>
      <c r="U101" s="109">
        <v>13</v>
      </c>
      <c r="V101" s="109">
        <v>0</v>
      </c>
      <c r="W101" s="109">
        <v>2</v>
      </c>
      <c r="Y101" s="24">
        <f>(S101+T101)*'space heating'!$C$20</f>
        <v>16.25</v>
      </c>
      <c r="Z101" s="24">
        <f t="shared" si="31"/>
        <v>5.4424083769633507</v>
      </c>
      <c r="AA101" s="24">
        <f t="shared" si="32"/>
        <v>2.9685863874345548</v>
      </c>
      <c r="AB101" s="24">
        <f t="shared" si="33"/>
        <v>4.5</v>
      </c>
      <c r="AC101" s="24">
        <f>(Z101+AA101)*'space heating'!$C$22</f>
        <v>8.4109947643979055</v>
      </c>
      <c r="AD101" s="24">
        <f>AB101*'space heating'!$C$23</f>
        <v>4.5</v>
      </c>
      <c r="AE101" s="24">
        <f>(O101+P101-Z101-AA101)*'space heating'!$C$24</f>
        <v>130.7208769633508</v>
      </c>
      <c r="AF101" s="24">
        <f>(O101+P101-Z101-AA101)*'space heating'!$C$25</f>
        <v>130.7208769633508</v>
      </c>
      <c r="AG101" s="24">
        <f>(Q101-AB101)*'space heating'!$C$26</f>
        <v>93.25</v>
      </c>
      <c r="AH101" s="24">
        <f t="shared" si="34"/>
        <v>139.13187172774872</v>
      </c>
      <c r="AI101" s="24">
        <f t="shared" si="35"/>
        <v>244.7208769633508</v>
      </c>
      <c r="AJ101" s="24">
        <f t="shared" ref="AJ101:AJ112" si="53">IF($A101="South hams",AH101,0)</f>
        <v>0</v>
      </c>
      <c r="AK101" s="24">
        <f t="shared" ref="AK101:AK112" si="54">IF($A101="South hams",AI101,0)</f>
        <v>0</v>
      </c>
      <c r="AL101" s="24">
        <f t="shared" si="37"/>
        <v>0</v>
      </c>
      <c r="AM101" s="24">
        <f t="shared" si="38"/>
        <v>0</v>
      </c>
      <c r="AN101" s="24">
        <f t="shared" ref="AN101:AN112" si="55">AH101*$D101</f>
        <v>0</v>
      </c>
      <c r="AO101" s="24">
        <f t="shared" ref="AO101:AO112" si="56">AI101*$D101</f>
        <v>0</v>
      </c>
      <c r="AP101" s="24">
        <f t="shared" ref="AP101:AP112" si="57">IF(AND($A101="teignbridge",$D101&gt;0),AN101,0)</f>
        <v>0</v>
      </c>
      <c r="AQ101" s="24">
        <f t="shared" ref="AQ101:AQ112" si="58">IF(AND($A101="teignbridge",$D101&gt;0),AO101,0)</f>
        <v>0</v>
      </c>
    </row>
    <row r="102" spans="1:43">
      <c r="A102" t="s">
        <v>60</v>
      </c>
      <c r="B102" t="s">
        <v>899</v>
      </c>
      <c r="C102" t="s">
        <v>900</v>
      </c>
      <c r="D102" s="117">
        <v>0</v>
      </c>
      <c r="E102" s="109">
        <v>534</v>
      </c>
      <c r="F102" s="109">
        <v>96</v>
      </c>
      <c r="G102" s="117">
        <v>0.15238095238095239</v>
      </c>
      <c r="H102" s="109">
        <v>434</v>
      </c>
      <c r="I102" s="109">
        <v>60</v>
      </c>
      <c r="J102" s="117">
        <v>0.1073345259391771</v>
      </c>
      <c r="K102" s="117">
        <v>0.20377658517193403</v>
      </c>
      <c r="L102" s="109">
        <v>526</v>
      </c>
      <c r="M102" s="109">
        <v>526</v>
      </c>
      <c r="N102" s="109">
        <v>441</v>
      </c>
      <c r="O102" s="109">
        <v>294</v>
      </c>
      <c r="P102" s="109">
        <v>94</v>
      </c>
      <c r="Q102" s="109">
        <v>53</v>
      </c>
      <c r="R102" s="109">
        <v>78</v>
      </c>
      <c r="S102" s="109">
        <v>58</v>
      </c>
      <c r="T102" s="109">
        <v>17</v>
      </c>
      <c r="U102" s="109">
        <v>3</v>
      </c>
      <c r="V102" s="109">
        <v>7</v>
      </c>
      <c r="W102" s="109">
        <v>0</v>
      </c>
      <c r="Y102" s="24">
        <f>(S102+T102)*'space heating'!$C$20</f>
        <v>18.75</v>
      </c>
      <c r="Z102" s="24">
        <f t="shared" si="31"/>
        <v>31.556350626118068</v>
      </c>
      <c r="AA102" s="24">
        <f t="shared" si="32"/>
        <v>10.089445438282647</v>
      </c>
      <c r="AB102" s="24">
        <f t="shared" si="33"/>
        <v>5.6887298747763859</v>
      </c>
      <c r="AC102" s="24">
        <f>(Z102+AA102)*'space heating'!$C$22</f>
        <v>41.645796064400713</v>
      </c>
      <c r="AD102" s="24">
        <f>AB102*'space heating'!$C$23</f>
        <v>5.6887298747763859</v>
      </c>
      <c r="AE102" s="24">
        <f>(O102+P102-Z102-AA102)*'space heating'!$C$24</f>
        <v>129.88282647584973</v>
      </c>
      <c r="AF102" s="24">
        <f>(O102+P102-Z102-AA102)*'space heating'!$C$25</f>
        <v>129.88282647584973</v>
      </c>
      <c r="AG102" s="24">
        <f>(Q102-AB102)*'space heating'!$C$26</f>
        <v>23.655635062611807</v>
      </c>
      <c r="AH102" s="24">
        <f t="shared" si="34"/>
        <v>171.52862254025044</v>
      </c>
      <c r="AI102" s="24">
        <f t="shared" si="35"/>
        <v>177.9771914132379</v>
      </c>
      <c r="AJ102" s="24">
        <f t="shared" si="53"/>
        <v>0</v>
      </c>
      <c r="AK102" s="24">
        <f t="shared" si="54"/>
        <v>0</v>
      </c>
      <c r="AL102" s="24">
        <f t="shared" si="37"/>
        <v>0</v>
      </c>
      <c r="AM102" s="24">
        <f t="shared" si="38"/>
        <v>0</v>
      </c>
      <c r="AN102" s="24">
        <f t="shared" si="55"/>
        <v>0</v>
      </c>
      <c r="AO102" s="24">
        <f t="shared" si="56"/>
        <v>0</v>
      </c>
      <c r="AP102" s="24">
        <f t="shared" si="57"/>
        <v>0</v>
      </c>
      <c r="AQ102" s="24">
        <f t="shared" si="58"/>
        <v>0</v>
      </c>
    </row>
    <row r="103" spans="1:43">
      <c r="A103" t="s">
        <v>60</v>
      </c>
      <c r="B103" t="s">
        <v>901</v>
      </c>
      <c r="C103" t="s">
        <v>902</v>
      </c>
      <c r="D103" s="117">
        <v>0</v>
      </c>
      <c r="E103" s="109">
        <v>494</v>
      </c>
      <c r="F103" s="109">
        <v>31</v>
      </c>
      <c r="G103" s="117">
        <v>5.904761904761905E-2</v>
      </c>
      <c r="H103" s="109">
        <v>505</v>
      </c>
      <c r="I103" s="109">
        <v>23</v>
      </c>
      <c r="J103" s="117">
        <v>4.4921875E-2</v>
      </c>
      <c r="K103" s="117">
        <v>-6.8266369047619291E-3</v>
      </c>
      <c r="L103" s="109">
        <v>523</v>
      </c>
      <c r="M103" s="109">
        <v>523</v>
      </c>
      <c r="N103" s="109">
        <v>450</v>
      </c>
      <c r="O103" s="109">
        <v>56</v>
      </c>
      <c r="P103" s="109">
        <v>296</v>
      </c>
      <c r="Q103" s="109">
        <v>98</v>
      </c>
      <c r="R103" s="109">
        <v>73</v>
      </c>
      <c r="S103" s="109">
        <v>65</v>
      </c>
      <c r="T103" s="109">
        <v>7</v>
      </c>
      <c r="U103" s="109">
        <v>1</v>
      </c>
      <c r="V103" s="109">
        <v>0</v>
      </c>
      <c r="W103" s="109">
        <v>0</v>
      </c>
      <c r="Y103" s="24">
        <f>(S103+T103)*'space heating'!$C$20</f>
        <v>18</v>
      </c>
      <c r="Z103" s="24">
        <f t="shared" si="31"/>
        <v>2.515625</v>
      </c>
      <c r="AA103" s="24">
        <f t="shared" si="32"/>
        <v>13.296875</v>
      </c>
      <c r="AB103" s="24">
        <f t="shared" si="33"/>
        <v>4.40234375</v>
      </c>
      <c r="AC103" s="24">
        <f>(Z103+AA103)*'space heating'!$C$22</f>
        <v>15.8125</v>
      </c>
      <c r="AD103" s="24">
        <f>AB103*'space heating'!$C$23</f>
        <v>4.40234375</v>
      </c>
      <c r="AE103" s="24">
        <f>(O103+P103-Z103-AA103)*'space heating'!$C$24</f>
        <v>126.0703125</v>
      </c>
      <c r="AF103" s="24">
        <f>(O103+P103-Z103-AA103)*'space heating'!$C$25</f>
        <v>126.0703125</v>
      </c>
      <c r="AG103" s="24">
        <f>(Q103-AB103)*'space heating'!$C$26</f>
        <v>46.798828125</v>
      </c>
      <c r="AH103" s="24">
        <f t="shared" si="34"/>
        <v>141.8828125</v>
      </c>
      <c r="AI103" s="24">
        <f t="shared" si="35"/>
        <v>195.271484375</v>
      </c>
      <c r="AJ103" s="24">
        <f t="shared" si="53"/>
        <v>0</v>
      </c>
      <c r="AK103" s="24">
        <f t="shared" si="54"/>
        <v>0</v>
      </c>
      <c r="AL103" s="24">
        <f t="shared" si="37"/>
        <v>0</v>
      </c>
      <c r="AM103" s="24">
        <f t="shared" si="38"/>
        <v>0</v>
      </c>
      <c r="AN103" s="24">
        <f t="shared" si="55"/>
        <v>0</v>
      </c>
      <c r="AO103" s="24">
        <f t="shared" si="56"/>
        <v>0</v>
      </c>
      <c r="AP103" s="24">
        <f t="shared" si="57"/>
        <v>0</v>
      </c>
      <c r="AQ103" s="24">
        <f t="shared" si="58"/>
        <v>0</v>
      </c>
    </row>
    <row r="104" spans="1:43">
      <c r="A104" t="s">
        <v>60</v>
      </c>
      <c r="B104" t="s">
        <v>903</v>
      </c>
      <c r="C104" t="s">
        <v>904</v>
      </c>
      <c r="D104" s="117">
        <v>0</v>
      </c>
      <c r="E104" s="109">
        <v>485</v>
      </c>
      <c r="F104" s="109">
        <v>155</v>
      </c>
      <c r="G104" s="117">
        <v>0.2421875</v>
      </c>
      <c r="H104" s="109">
        <v>520</v>
      </c>
      <c r="I104" s="109">
        <v>18</v>
      </c>
      <c r="J104" s="117">
        <v>2.8481012658227847E-2</v>
      </c>
      <c r="K104" s="117">
        <v>0.15901898734177217</v>
      </c>
      <c r="L104" s="109">
        <v>627</v>
      </c>
      <c r="M104" s="109">
        <v>627</v>
      </c>
      <c r="N104" s="109">
        <v>585</v>
      </c>
      <c r="O104" s="109">
        <v>98</v>
      </c>
      <c r="P104" s="109">
        <v>231</v>
      </c>
      <c r="Q104" s="109">
        <v>256</v>
      </c>
      <c r="R104" s="109">
        <v>42</v>
      </c>
      <c r="S104" s="109">
        <v>40</v>
      </c>
      <c r="T104" s="109">
        <v>2</v>
      </c>
      <c r="U104" s="109">
        <v>0</v>
      </c>
      <c r="V104" s="109">
        <v>0</v>
      </c>
      <c r="W104" s="109">
        <v>0</v>
      </c>
      <c r="Y104" s="24">
        <f>(S104+T104)*'space heating'!$C$20</f>
        <v>10.5</v>
      </c>
      <c r="Z104" s="24">
        <f t="shared" si="31"/>
        <v>2.7911392405063289</v>
      </c>
      <c r="AA104" s="24">
        <f t="shared" si="32"/>
        <v>6.5791139240506329</v>
      </c>
      <c r="AB104" s="24">
        <f t="shared" si="33"/>
        <v>7.2911392405063289</v>
      </c>
      <c r="AC104" s="24">
        <f>(Z104+AA104)*'space heating'!$C$22</f>
        <v>9.3702531645569618</v>
      </c>
      <c r="AD104" s="24">
        <f>AB104*'space heating'!$C$23</f>
        <v>7.2911392405063289</v>
      </c>
      <c r="AE104" s="24">
        <f>(O104+P104-Z104-AA104)*'space heating'!$C$24</f>
        <v>119.86115506329114</v>
      </c>
      <c r="AF104" s="24">
        <f>(O104+P104-Z104-AA104)*'space heating'!$C$25</f>
        <v>119.86115506329114</v>
      </c>
      <c r="AG104" s="24">
        <f>(Q104-AB104)*'space heating'!$C$26</f>
        <v>124.35443037974683</v>
      </c>
      <c r="AH104" s="24">
        <f t="shared" si="34"/>
        <v>129.23140822784811</v>
      </c>
      <c r="AI104" s="24">
        <f t="shared" si="35"/>
        <v>262.00672468354429</v>
      </c>
      <c r="AJ104" s="24">
        <f t="shared" si="53"/>
        <v>0</v>
      </c>
      <c r="AK104" s="24">
        <f t="shared" si="54"/>
        <v>0</v>
      </c>
      <c r="AL104" s="24">
        <f t="shared" si="37"/>
        <v>0</v>
      </c>
      <c r="AM104" s="24">
        <f t="shared" si="38"/>
        <v>0</v>
      </c>
      <c r="AN104" s="24">
        <f t="shared" si="55"/>
        <v>0</v>
      </c>
      <c r="AO104" s="24">
        <f t="shared" si="56"/>
        <v>0</v>
      </c>
      <c r="AP104" s="24">
        <f t="shared" si="57"/>
        <v>0</v>
      </c>
      <c r="AQ104" s="24">
        <f t="shared" si="58"/>
        <v>0</v>
      </c>
    </row>
    <row r="105" spans="1:43">
      <c r="A105" t="s">
        <v>60</v>
      </c>
      <c r="B105" t="s">
        <v>905</v>
      </c>
      <c r="C105" t="s">
        <v>906</v>
      </c>
      <c r="D105" s="117">
        <v>0</v>
      </c>
      <c r="E105" s="109">
        <v>487</v>
      </c>
      <c r="F105" s="109">
        <v>25</v>
      </c>
      <c r="G105" s="117">
        <v>4.8828125E-2</v>
      </c>
      <c r="H105" s="109">
        <v>488</v>
      </c>
      <c r="I105" s="109">
        <v>18</v>
      </c>
      <c r="J105" s="117">
        <v>3.5433070866141732E-2</v>
      </c>
      <c r="K105" s="117">
        <v>1.1441929133858268E-2</v>
      </c>
      <c r="L105" s="109">
        <v>499</v>
      </c>
      <c r="M105" s="109">
        <v>499</v>
      </c>
      <c r="N105" s="109">
        <v>490</v>
      </c>
      <c r="O105" s="109">
        <v>344</v>
      </c>
      <c r="P105" s="109">
        <v>99</v>
      </c>
      <c r="Q105" s="109">
        <v>47</v>
      </c>
      <c r="R105" s="109">
        <v>8</v>
      </c>
      <c r="S105" s="109">
        <v>2</v>
      </c>
      <c r="T105" s="109">
        <v>6</v>
      </c>
      <c r="U105" s="109">
        <v>0</v>
      </c>
      <c r="V105" s="109">
        <v>1</v>
      </c>
      <c r="W105" s="109">
        <v>0</v>
      </c>
      <c r="Y105" s="24">
        <f>(S105+T105)*'space heating'!$C$20</f>
        <v>2</v>
      </c>
      <c r="Z105" s="24">
        <f t="shared" si="31"/>
        <v>12.188976377952756</v>
      </c>
      <c r="AA105" s="24">
        <f t="shared" si="32"/>
        <v>3.5078740157480315</v>
      </c>
      <c r="AB105" s="24">
        <f t="shared" si="33"/>
        <v>1.6653543307086613</v>
      </c>
      <c r="AC105" s="24">
        <f>(Z105+AA105)*'space heating'!$C$22</f>
        <v>15.696850393700787</v>
      </c>
      <c r="AD105" s="24">
        <f>AB105*'space heating'!$C$23</f>
        <v>1.6653543307086613</v>
      </c>
      <c r="AE105" s="24">
        <f>(O105+P105-Z105-AA105)*'space heating'!$C$24</f>
        <v>160.23868110236219</v>
      </c>
      <c r="AF105" s="24">
        <f>(O105+P105-Z105-AA105)*'space heating'!$C$25</f>
        <v>160.23868110236219</v>
      </c>
      <c r="AG105" s="24">
        <f>(Q105-AB105)*'space heating'!$C$26</f>
        <v>22.66732283464567</v>
      </c>
      <c r="AH105" s="24">
        <f t="shared" si="34"/>
        <v>175.93553149606299</v>
      </c>
      <c r="AI105" s="24">
        <f t="shared" si="35"/>
        <v>186.5713582677165</v>
      </c>
      <c r="AJ105" s="24">
        <f t="shared" si="53"/>
        <v>0</v>
      </c>
      <c r="AK105" s="24">
        <f t="shared" si="54"/>
        <v>0</v>
      </c>
      <c r="AL105" s="24">
        <f t="shared" si="37"/>
        <v>0</v>
      </c>
      <c r="AM105" s="24">
        <f t="shared" si="38"/>
        <v>0</v>
      </c>
      <c r="AN105" s="24">
        <f t="shared" si="55"/>
        <v>0</v>
      </c>
      <c r="AO105" s="24">
        <f t="shared" si="56"/>
        <v>0</v>
      </c>
      <c r="AP105" s="24">
        <f t="shared" si="57"/>
        <v>0</v>
      </c>
      <c r="AQ105" s="24">
        <f t="shared" si="58"/>
        <v>0</v>
      </c>
    </row>
    <row r="106" spans="1:43">
      <c r="A106" t="s">
        <v>60</v>
      </c>
      <c r="B106" t="s">
        <v>907</v>
      </c>
      <c r="C106" t="s">
        <v>908</v>
      </c>
      <c r="D106" s="117">
        <v>0</v>
      </c>
      <c r="E106" s="109">
        <v>748</v>
      </c>
      <c r="F106" s="109">
        <v>64</v>
      </c>
      <c r="G106" s="117">
        <v>7.8817733990147784E-2</v>
      </c>
      <c r="H106" s="109">
        <v>764</v>
      </c>
      <c r="I106" s="109">
        <v>80</v>
      </c>
      <c r="J106" s="117">
        <v>0.11904761904761904</v>
      </c>
      <c r="K106" s="117">
        <v>-5.9934318555008165E-2</v>
      </c>
      <c r="L106" s="109">
        <v>845</v>
      </c>
      <c r="M106" s="109">
        <v>843</v>
      </c>
      <c r="N106" s="109">
        <v>676</v>
      </c>
      <c r="O106" s="109">
        <v>260</v>
      </c>
      <c r="P106" s="109">
        <v>222</v>
      </c>
      <c r="Q106" s="109">
        <v>194</v>
      </c>
      <c r="R106" s="109">
        <v>167</v>
      </c>
      <c r="S106" s="109">
        <v>110</v>
      </c>
      <c r="T106" s="109">
        <v>57</v>
      </c>
      <c r="U106" s="109">
        <v>0</v>
      </c>
      <c r="V106" s="109">
        <v>0</v>
      </c>
      <c r="W106" s="109">
        <v>2</v>
      </c>
      <c r="Y106" s="24">
        <f>(S106+T106)*'space heating'!$C$20</f>
        <v>41.75</v>
      </c>
      <c r="Z106" s="24">
        <f t="shared" si="31"/>
        <v>30.952380952380949</v>
      </c>
      <c r="AA106" s="24">
        <f t="shared" si="32"/>
        <v>26.428571428571427</v>
      </c>
      <c r="AB106" s="24">
        <f t="shared" si="33"/>
        <v>23.095238095238095</v>
      </c>
      <c r="AC106" s="24">
        <f>(Z106+AA106)*'space heating'!$C$22</f>
        <v>57.38095238095238</v>
      </c>
      <c r="AD106" s="24">
        <f>AB106*'space heating'!$C$23</f>
        <v>23.095238095238095</v>
      </c>
      <c r="AE106" s="24">
        <f>(O106+P106-Z106-AA106)*'space heating'!$C$24</f>
        <v>159.23214285714283</v>
      </c>
      <c r="AF106" s="24">
        <f>(O106+P106-Z106-AA106)*'space heating'!$C$25</f>
        <v>159.23214285714283</v>
      </c>
      <c r="AG106" s="24">
        <f>(Q106-AB106)*'space heating'!$C$26</f>
        <v>85.452380952380949</v>
      </c>
      <c r="AH106" s="24">
        <f t="shared" si="34"/>
        <v>216.61309523809521</v>
      </c>
      <c r="AI106" s="24">
        <f t="shared" si="35"/>
        <v>309.52976190476187</v>
      </c>
      <c r="AJ106" s="24">
        <f t="shared" si="53"/>
        <v>0</v>
      </c>
      <c r="AK106" s="24">
        <f t="shared" si="54"/>
        <v>0</v>
      </c>
      <c r="AL106" s="24">
        <f t="shared" si="37"/>
        <v>0</v>
      </c>
      <c r="AM106" s="24">
        <f t="shared" si="38"/>
        <v>0</v>
      </c>
      <c r="AN106" s="24">
        <f t="shared" si="55"/>
        <v>0</v>
      </c>
      <c r="AO106" s="24">
        <f t="shared" si="56"/>
        <v>0</v>
      </c>
      <c r="AP106" s="24">
        <f t="shared" si="57"/>
        <v>0</v>
      </c>
      <c r="AQ106" s="24">
        <f t="shared" si="58"/>
        <v>0</v>
      </c>
    </row>
    <row r="107" spans="1:43">
      <c r="A107" t="s">
        <v>60</v>
      </c>
      <c r="B107" t="s">
        <v>909</v>
      </c>
      <c r="C107" t="s">
        <v>910</v>
      </c>
      <c r="D107" s="117">
        <v>0</v>
      </c>
      <c r="E107" s="109">
        <v>390</v>
      </c>
      <c r="F107" s="109">
        <v>74</v>
      </c>
      <c r="G107" s="117">
        <v>0.15948275862068967</v>
      </c>
      <c r="H107" s="109">
        <v>138</v>
      </c>
      <c r="I107" s="109">
        <v>286</v>
      </c>
      <c r="J107" s="117">
        <v>0.68421052631578949</v>
      </c>
      <c r="K107" s="117">
        <v>1.8375680580762221E-2</v>
      </c>
      <c r="L107" s="109">
        <v>431</v>
      </c>
      <c r="M107" s="109">
        <v>431</v>
      </c>
      <c r="N107" s="109">
        <v>420</v>
      </c>
      <c r="O107" s="109">
        <v>233</v>
      </c>
      <c r="P107" s="109">
        <v>89</v>
      </c>
      <c r="Q107" s="109">
        <v>98</v>
      </c>
      <c r="R107" s="109">
        <v>6</v>
      </c>
      <c r="S107" s="109">
        <v>2</v>
      </c>
      <c r="T107" s="109">
        <v>3</v>
      </c>
      <c r="U107" s="109">
        <v>1</v>
      </c>
      <c r="V107" s="109">
        <v>5</v>
      </c>
      <c r="W107" s="109">
        <v>0</v>
      </c>
      <c r="Y107" s="24">
        <f>(S107+T107)*'space heating'!$C$20</f>
        <v>1.25</v>
      </c>
      <c r="Z107" s="24">
        <f t="shared" si="31"/>
        <v>159.42105263157896</v>
      </c>
      <c r="AA107" s="24">
        <f t="shared" si="32"/>
        <v>60.894736842105267</v>
      </c>
      <c r="AB107" s="24">
        <f t="shared" si="33"/>
        <v>67.05263157894737</v>
      </c>
      <c r="AC107" s="24">
        <f>(Z107+AA107)*'space heating'!$C$22</f>
        <v>220.31578947368422</v>
      </c>
      <c r="AD107" s="24">
        <f>AB107*'space heating'!$C$23</f>
        <v>67.05263157894737</v>
      </c>
      <c r="AE107" s="24">
        <f>(O107+P107-Z107-AA107)*'space heating'!$C$24</f>
        <v>38.131578947368418</v>
      </c>
      <c r="AF107" s="24">
        <f>(O107+P107-Z107-AA107)*'space heating'!$C$25</f>
        <v>38.131578947368418</v>
      </c>
      <c r="AG107" s="24">
        <f>(Q107-AB107)*'space heating'!$C$26</f>
        <v>15.473684210526315</v>
      </c>
      <c r="AH107" s="24">
        <f t="shared" si="34"/>
        <v>258.44736842105266</v>
      </c>
      <c r="AI107" s="24">
        <f t="shared" si="35"/>
        <v>121.9078947368421</v>
      </c>
      <c r="AJ107" s="24">
        <f t="shared" si="53"/>
        <v>0</v>
      </c>
      <c r="AK107" s="24">
        <f t="shared" si="54"/>
        <v>0</v>
      </c>
      <c r="AL107" s="24">
        <f t="shared" si="37"/>
        <v>0</v>
      </c>
      <c r="AM107" s="24">
        <f t="shared" si="38"/>
        <v>0</v>
      </c>
      <c r="AN107" s="24">
        <f t="shared" si="55"/>
        <v>0</v>
      </c>
      <c r="AO107" s="24">
        <f t="shared" si="56"/>
        <v>0</v>
      </c>
      <c r="AP107" s="24">
        <f t="shared" si="57"/>
        <v>0</v>
      </c>
      <c r="AQ107" s="24">
        <f t="shared" si="58"/>
        <v>0</v>
      </c>
    </row>
    <row r="108" spans="1:43">
      <c r="A108" t="s">
        <v>60</v>
      </c>
      <c r="B108" t="s">
        <v>911</v>
      </c>
      <c r="C108" t="s">
        <v>912</v>
      </c>
      <c r="D108" s="117">
        <v>0</v>
      </c>
      <c r="E108" s="109">
        <v>572</v>
      </c>
      <c r="F108" s="109">
        <v>26</v>
      </c>
      <c r="G108" s="117">
        <v>4.3478260869565216E-2</v>
      </c>
      <c r="H108" s="109">
        <v>549</v>
      </c>
      <c r="I108" s="109">
        <v>0</v>
      </c>
      <c r="J108" s="117">
        <v>0</v>
      </c>
      <c r="K108" s="117">
        <v>8.1939799331103624E-2</v>
      </c>
      <c r="L108" s="109">
        <v>589</v>
      </c>
      <c r="M108" s="109">
        <v>589</v>
      </c>
      <c r="N108" s="109">
        <v>586</v>
      </c>
      <c r="O108" s="109">
        <v>357</v>
      </c>
      <c r="P108" s="109">
        <v>161</v>
      </c>
      <c r="Q108" s="109">
        <v>68</v>
      </c>
      <c r="R108" s="109">
        <v>3</v>
      </c>
      <c r="S108" s="109">
        <v>1</v>
      </c>
      <c r="T108" s="109">
        <v>0</v>
      </c>
      <c r="U108" s="109">
        <v>2</v>
      </c>
      <c r="V108" s="109">
        <v>0</v>
      </c>
      <c r="W108" s="109">
        <v>0</v>
      </c>
      <c r="Y108" s="24">
        <f>(S108+T108)*'space heating'!$C$20</f>
        <v>0.25</v>
      </c>
      <c r="Z108" s="24">
        <f t="shared" si="31"/>
        <v>0</v>
      </c>
      <c r="AA108" s="24">
        <f t="shared" si="32"/>
        <v>0</v>
      </c>
      <c r="AB108" s="24">
        <f t="shared" si="33"/>
        <v>0</v>
      </c>
      <c r="AC108" s="24">
        <f>(Z108+AA108)*'space heating'!$C$22</f>
        <v>0</v>
      </c>
      <c r="AD108" s="24">
        <f>AB108*'space heating'!$C$23</f>
        <v>0</v>
      </c>
      <c r="AE108" s="24">
        <f>(O108+P108-Z108-AA108)*'space heating'!$C$24</f>
        <v>194.25</v>
      </c>
      <c r="AF108" s="24">
        <f>(O108+P108-Z108-AA108)*'space heating'!$C$25</f>
        <v>194.25</v>
      </c>
      <c r="AG108" s="24">
        <f>(Q108-AB108)*'space heating'!$C$26</f>
        <v>34</v>
      </c>
      <c r="AH108" s="24">
        <f t="shared" si="34"/>
        <v>194.25</v>
      </c>
      <c r="AI108" s="24">
        <f t="shared" si="35"/>
        <v>228.5</v>
      </c>
      <c r="AJ108" s="24">
        <f t="shared" si="53"/>
        <v>0</v>
      </c>
      <c r="AK108" s="24">
        <f t="shared" si="54"/>
        <v>0</v>
      </c>
      <c r="AL108" s="24">
        <f t="shared" si="37"/>
        <v>0</v>
      </c>
      <c r="AM108" s="24">
        <f t="shared" si="38"/>
        <v>0</v>
      </c>
      <c r="AN108" s="24">
        <f t="shared" si="55"/>
        <v>0</v>
      </c>
      <c r="AO108" s="24">
        <f t="shared" si="56"/>
        <v>0</v>
      </c>
      <c r="AP108" s="24">
        <f t="shared" si="57"/>
        <v>0</v>
      </c>
      <c r="AQ108" s="24">
        <f t="shared" si="58"/>
        <v>0</v>
      </c>
    </row>
    <row r="109" spans="1:43">
      <c r="A109" t="s">
        <v>60</v>
      </c>
      <c r="B109" t="s">
        <v>913</v>
      </c>
      <c r="C109" t="s">
        <v>914</v>
      </c>
      <c r="D109" s="117">
        <v>0</v>
      </c>
      <c r="E109" s="109">
        <v>418</v>
      </c>
      <c r="F109" s="109">
        <v>31</v>
      </c>
      <c r="G109" s="117">
        <v>6.9042316258351888E-2</v>
      </c>
      <c r="H109" s="109">
        <v>409</v>
      </c>
      <c r="I109" s="109">
        <v>80</v>
      </c>
      <c r="J109" s="117">
        <v>0.18433179723502305</v>
      </c>
      <c r="K109" s="117">
        <v>-9.5244937546827085E-2</v>
      </c>
      <c r="L109" s="109">
        <v>427</v>
      </c>
      <c r="M109" s="109">
        <v>427</v>
      </c>
      <c r="N109" s="109">
        <v>418</v>
      </c>
      <c r="O109" s="109">
        <v>120</v>
      </c>
      <c r="P109" s="109">
        <v>183</v>
      </c>
      <c r="Q109" s="109">
        <v>115</v>
      </c>
      <c r="R109" s="109">
        <v>9</v>
      </c>
      <c r="S109" s="109">
        <v>3</v>
      </c>
      <c r="T109" s="109">
        <v>6</v>
      </c>
      <c r="U109" s="109">
        <v>0</v>
      </c>
      <c r="V109" s="109">
        <v>0</v>
      </c>
      <c r="W109" s="109">
        <v>0</v>
      </c>
      <c r="Y109" s="24">
        <f>(S109+T109)*'space heating'!$C$20</f>
        <v>2.25</v>
      </c>
      <c r="Z109" s="24">
        <f t="shared" si="31"/>
        <v>22.119815668202765</v>
      </c>
      <c r="AA109" s="24">
        <f t="shared" si="32"/>
        <v>33.732718894009217</v>
      </c>
      <c r="AB109" s="24">
        <f t="shared" si="33"/>
        <v>21.198156682027651</v>
      </c>
      <c r="AC109" s="24">
        <f>(Z109+AA109)*'space heating'!$C$22</f>
        <v>55.852534562211986</v>
      </c>
      <c r="AD109" s="24">
        <f>AB109*'space heating'!$C$23</f>
        <v>21.198156682027651</v>
      </c>
      <c r="AE109" s="24">
        <f>(O109+P109-Z109-AA109)*'space heating'!$C$24</f>
        <v>92.680299539170505</v>
      </c>
      <c r="AF109" s="24">
        <f>(O109+P109-Z109-AA109)*'space heating'!$C$25</f>
        <v>92.680299539170505</v>
      </c>
      <c r="AG109" s="24">
        <f>(Q109-AB109)*'space heating'!$C$26</f>
        <v>46.900921658986178</v>
      </c>
      <c r="AH109" s="24">
        <f t="shared" si="34"/>
        <v>148.53283410138249</v>
      </c>
      <c r="AI109" s="24">
        <f t="shared" si="35"/>
        <v>163.02937788018431</v>
      </c>
      <c r="AJ109" s="24">
        <f t="shared" si="53"/>
        <v>0</v>
      </c>
      <c r="AK109" s="24">
        <f t="shared" si="54"/>
        <v>0</v>
      </c>
      <c r="AL109" s="24">
        <f t="shared" si="37"/>
        <v>0</v>
      </c>
      <c r="AM109" s="24">
        <f t="shared" si="38"/>
        <v>0</v>
      </c>
      <c r="AN109" s="24">
        <f t="shared" si="55"/>
        <v>0</v>
      </c>
      <c r="AO109" s="24">
        <f t="shared" si="56"/>
        <v>0</v>
      </c>
      <c r="AP109" s="24">
        <f t="shared" si="57"/>
        <v>0</v>
      </c>
      <c r="AQ109" s="24">
        <f t="shared" si="58"/>
        <v>0</v>
      </c>
    </row>
    <row r="110" spans="1:43">
      <c r="A110" t="s">
        <v>60</v>
      </c>
      <c r="B110" t="s">
        <v>915</v>
      </c>
      <c r="C110" t="s">
        <v>916</v>
      </c>
      <c r="D110" s="117">
        <v>0</v>
      </c>
      <c r="E110" s="109">
        <v>569</v>
      </c>
      <c r="F110" s="109">
        <v>51</v>
      </c>
      <c r="G110" s="117">
        <v>8.2258064516129034E-2</v>
      </c>
      <c r="H110" s="109">
        <v>519</v>
      </c>
      <c r="I110" s="109">
        <v>72</v>
      </c>
      <c r="J110" s="117">
        <v>0.12080536912751678</v>
      </c>
      <c r="K110" s="117">
        <v>4.2097856678934883E-2</v>
      </c>
      <c r="L110" s="109">
        <v>602</v>
      </c>
      <c r="M110" s="109">
        <v>602</v>
      </c>
      <c r="N110" s="109">
        <v>582</v>
      </c>
      <c r="O110" s="109">
        <v>198</v>
      </c>
      <c r="P110" s="109">
        <v>214</v>
      </c>
      <c r="Q110" s="109">
        <v>170</v>
      </c>
      <c r="R110" s="109">
        <v>12</v>
      </c>
      <c r="S110" s="109">
        <v>8</v>
      </c>
      <c r="T110" s="109">
        <v>3</v>
      </c>
      <c r="U110" s="109">
        <v>1</v>
      </c>
      <c r="V110" s="109">
        <v>8</v>
      </c>
      <c r="W110" s="109">
        <v>0</v>
      </c>
      <c r="Y110" s="24">
        <f>(S110+T110)*'space heating'!$C$20</f>
        <v>2.75</v>
      </c>
      <c r="Z110" s="24">
        <f t="shared" si="31"/>
        <v>23.919463087248324</v>
      </c>
      <c r="AA110" s="24">
        <f t="shared" si="32"/>
        <v>25.85234899328859</v>
      </c>
      <c r="AB110" s="24">
        <f t="shared" si="33"/>
        <v>20.536912751677853</v>
      </c>
      <c r="AC110" s="24">
        <f>(Z110+AA110)*'space heating'!$C$22</f>
        <v>49.771812080536918</v>
      </c>
      <c r="AD110" s="24">
        <f>AB110*'space heating'!$C$23</f>
        <v>20.536912751677853</v>
      </c>
      <c r="AE110" s="24">
        <f>(O110+P110-Z110-AA110)*'space heating'!$C$24</f>
        <v>135.83557046979865</v>
      </c>
      <c r="AF110" s="24">
        <f>(O110+P110-Z110-AA110)*'space heating'!$C$25</f>
        <v>135.83557046979865</v>
      </c>
      <c r="AG110" s="24">
        <f>(Q110-AB110)*'space heating'!$C$26</f>
        <v>74.731543624161077</v>
      </c>
      <c r="AH110" s="24">
        <f t="shared" si="34"/>
        <v>185.60738255033556</v>
      </c>
      <c r="AI110" s="24">
        <f t="shared" si="35"/>
        <v>233.85402684563758</v>
      </c>
      <c r="AJ110" s="24">
        <f t="shared" si="53"/>
        <v>0</v>
      </c>
      <c r="AK110" s="24">
        <f t="shared" si="54"/>
        <v>0</v>
      </c>
      <c r="AL110" s="24">
        <f t="shared" si="37"/>
        <v>0</v>
      </c>
      <c r="AM110" s="24">
        <f t="shared" si="38"/>
        <v>0</v>
      </c>
      <c r="AN110" s="24">
        <f t="shared" si="55"/>
        <v>0</v>
      </c>
      <c r="AO110" s="24">
        <f t="shared" si="56"/>
        <v>0</v>
      </c>
      <c r="AP110" s="24">
        <f t="shared" si="57"/>
        <v>0</v>
      </c>
      <c r="AQ110" s="24">
        <f t="shared" si="58"/>
        <v>0</v>
      </c>
    </row>
    <row r="111" spans="1:43">
      <c r="A111" t="s">
        <v>60</v>
      </c>
      <c r="B111" t="s">
        <v>917</v>
      </c>
      <c r="C111" t="s">
        <v>918</v>
      </c>
      <c r="D111" s="117">
        <v>0</v>
      </c>
      <c r="E111" s="109">
        <v>616</v>
      </c>
      <c r="F111" s="109">
        <v>77</v>
      </c>
      <c r="G111" s="117">
        <v>0.1111111111111111</v>
      </c>
      <c r="H111" s="109">
        <v>590</v>
      </c>
      <c r="I111" s="109">
        <v>14</v>
      </c>
      <c r="J111" s="117">
        <v>2.1909233176838811E-2</v>
      </c>
      <c r="K111" s="117">
        <v>0.12671991545230984</v>
      </c>
      <c r="L111" s="109">
        <v>675</v>
      </c>
      <c r="M111" s="109">
        <v>675</v>
      </c>
      <c r="N111" s="109">
        <v>552</v>
      </c>
      <c r="O111" s="109">
        <v>24</v>
      </c>
      <c r="P111" s="109">
        <v>207</v>
      </c>
      <c r="Q111" s="109">
        <v>321</v>
      </c>
      <c r="R111" s="109">
        <v>123</v>
      </c>
      <c r="S111" s="109">
        <v>121</v>
      </c>
      <c r="T111" s="109">
        <v>1</v>
      </c>
      <c r="U111" s="109">
        <v>1</v>
      </c>
      <c r="V111" s="109">
        <v>0</v>
      </c>
      <c r="W111" s="109">
        <v>0</v>
      </c>
      <c r="Y111" s="24">
        <f>(S111+T111)*'space heating'!$C$20</f>
        <v>30.5</v>
      </c>
      <c r="Z111" s="24">
        <f t="shared" si="31"/>
        <v>0.5258215962441315</v>
      </c>
      <c r="AA111" s="24">
        <f t="shared" si="32"/>
        <v>4.535211267605634</v>
      </c>
      <c r="AB111" s="24">
        <f t="shared" si="33"/>
        <v>7.032863849765258</v>
      </c>
      <c r="AC111" s="24">
        <f>(Z111+AA111)*'space heating'!$C$22</f>
        <v>5.0610328638497659</v>
      </c>
      <c r="AD111" s="24">
        <f>AB111*'space heating'!$C$23</f>
        <v>7.032863849765258</v>
      </c>
      <c r="AE111" s="24">
        <f>(O111+P111-Z111-AA111)*'space heating'!$C$24</f>
        <v>84.727112676056336</v>
      </c>
      <c r="AF111" s="24">
        <f>(O111+P111-Z111-AA111)*'space heating'!$C$25</f>
        <v>84.727112676056336</v>
      </c>
      <c r="AG111" s="24">
        <f>(Q111-AB111)*'space heating'!$C$26</f>
        <v>156.98356807511738</v>
      </c>
      <c r="AH111" s="24">
        <f t="shared" si="34"/>
        <v>89.788145539906097</v>
      </c>
      <c r="AI111" s="24">
        <f t="shared" si="35"/>
        <v>279.243544600939</v>
      </c>
      <c r="AJ111" s="24">
        <f t="shared" si="53"/>
        <v>0</v>
      </c>
      <c r="AK111" s="24">
        <f t="shared" si="54"/>
        <v>0</v>
      </c>
      <c r="AL111" s="24">
        <f t="shared" si="37"/>
        <v>0</v>
      </c>
      <c r="AM111" s="24">
        <f t="shared" si="38"/>
        <v>0</v>
      </c>
      <c r="AN111" s="24">
        <f t="shared" si="55"/>
        <v>0</v>
      </c>
      <c r="AO111" s="24">
        <f t="shared" si="56"/>
        <v>0</v>
      </c>
      <c r="AP111" s="24">
        <f t="shared" si="57"/>
        <v>0</v>
      </c>
      <c r="AQ111" s="24">
        <f t="shared" si="58"/>
        <v>0</v>
      </c>
    </row>
    <row r="112" spans="1:43">
      <c r="A112" t="s">
        <v>60</v>
      </c>
      <c r="B112" t="s">
        <v>919</v>
      </c>
      <c r="C112" t="s">
        <v>920</v>
      </c>
      <c r="D112" s="117">
        <v>0</v>
      </c>
      <c r="E112" s="109">
        <v>601</v>
      </c>
      <c r="F112" s="109">
        <v>314</v>
      </c>
      <c r="G112" s="117">
        <v>0.34316939890710385</v>
      </c>
      <c r="H112" s="109">
        <v>733</v>
      </c>
      <c r="I112" s="109">
        <v>93</v>
      </c>
      <c r="J112" s="117">
        <v>0.11164465786314526</v>
      </c>
      <c r="K112" s="117">
        <v>8.7262445961991397E-2</v>
      </c>
      <c r="L112" s="109">
        <v>879</v>
      </c>
      <c r="M112" s="109">
        <v>869</v>
      </c>
      <c r="N112" s="109">
        <v>477</v>
      </c>
      <c r="O112" s="109">
        <v>27</v>
      </c>
      <c r="P112" s="109">
        <v>114</v>
      </c>
      <c r="Q112" s="109">
        <v>336</v>
      </c>
      <c r="R112" s="109">
        <v>392</v>
      </c>
      <c r="S112" s="109">
        <v>252</v>
      </c>
      <c r="T112" s="109">
        <v>100</v>
      </c>
      <c r="U112" s="109">
        <v>40</v>
      </c>
      <c r="V112" s="109">
        <v>0</v>
      </c>
      <c r="W112" s="109">
        <v>10</v>
      </c>
      <c r="Y112" s="24">
        <f>(S112+T112)*'space heating'!$C$20</f>
        <v>88</v>
      </c>
      <c r="Z112" s="24">
        <f t="shared" si="31"/>
        <v>3.0144057623049219</v>
      </c>
      <c r="AA112" s="24">
        <f t="shared" si="32"/>
        <v>12.72749099639856</v>
      </c>
      <c r="AB112" s="24">
        <f t="shared" si="33"/>
        <v>37.512605042016808</v>
      </c>
      <c r="AC112" s="24">
        <f>(Z112+AA112)*'space heating'!$C$22</f>
        <v>15.741896758703481</v>
      </c>
      <c r="AD112" s="24">
        <f>AB112*'space heating'!$C$23</f>
        <v>37.512605042016808</v>
      </c>
      <c r="AE112" s="24">
        <f>(O112+P112-Z112-AA112)*'space heating'!$C$24</f>
        <v>46.971788715486191</v>
      </c>
      <c r="AF112" s="24">
        <f>(O112+P112-Z112-AA112)*'space heating'!$C$25</f>
        <v>46.971788715486191</v>
      </c>
      <c r="AG112" s="24">
        <f>(Q112-AB112)*'space heating'!$C$26</f>
        <v>149.24369747899161</v>
      </c>
      <c r="AH112" s="24">
        <f t="shared" si="34"/>
        <v>62.713685474189674</v>
      </c>
      <c r="AI112" s="24">
        <f t="shared" si="35"/>
        <v>321.72809123649461</v>
      </c>
      <c r="AJ112" s="24">
        <f t="shared" si="53"/>
        <v>0</v>
      </c>
      <c r="AK112" s="24">
        <f t="shared" si="54"/>
        <v>0</v>
      </c>
      <c r="AL112" s="24">
        <f t="shared" si="37"/>
        <v>0</v>
      </c>
      <c r="AM112" s="24">
        <f t="shared" si="38"/>
        <v>0</v>
      </c>
      <c r="AN112" s="24">
        <f t="shared" si="55"/>
        <v>0</v>
      </c>
      <c r="AO112" s="24">
        <f t="shared" si="56"/>
        <v>0</v>
      </c>
      <c r="AP112" s="24">
        <f t="shared" si="57"/>
        <v>0</v>
      </c>
      <c r="AQ112" s="24">
        <f t="shared" si="58"/>
        <v>0</v>
      </c>
    </row>
    <row r="113" spans="1:43">
      <c r="A113" t="s">
        <v>60</v>
      </c>
      <c r="B113" t="s">
        <v>921</v>
      </c>
      <c r="C113" t="s">
        <v>922</v>
      </c>
      <c r="D113" s="117">
        <v>0</v>
      </c>
      <c r="E113" s="109">
        <v>570</v>
      </c>
      <c r="F113" s="109">
        <v>204</v>
      </c>
      <c r="G113" s="117">
        <v>0.26356589147286824</v>
      </c>
      <c r="H113" s="109">
        <v>631</v>
      </c>
      <c r="I113" s="109">
        <v>28</v>
      </c>
      <c r="J113" s="117">
        <v>3.825136612021858E-2</v>
      </c>
      <c r="K113" s="117">
        <v>0.14650315584360568</v>
      </c>
      <c r="L113" s="109">
        <v>746</v>
      </c>
      <c r="M113" s="109">
        <v>744</v>
      </c>
      <c r="N113" s="109">
        <v>461</v>
      </c>
      <c r="O113" s="109">
        <v>17</v>
      </c>
      <c r="P113" s="109">
        <v>55</v>
      </c>
      <c r="Q113" s="109">
        <v>389</v>
      </c>
      <c r="R113" s="109">
        <v>282</v>
      </c>
      <c r="S113" s="109">
        <v>187</v>
      </c>
      <c r="T113" s="109">
        <v>47</v>
      </c>
      <c r="U113" s="109">
        <v>48</v>
      </c>
      <c r="V113" s="109">
        <v>1</v>
      </c>
      <c r="W113" s="109">
        <v>2</v>
      </c>
      <c r="Y113" s="24">
        <f>(S113+T113)*'space heating'!$C$20</f>
        <v>58.5</v>
      </c>
      <c r="Z113" s="24">
        <f t="shared" si="31"/>
        <v>0.6502732240437159</v>
      </c>
      <c r="AA113" s="24">
        <f t="shared" si="32"/>
        <v>2.1038251366120218</v>
      </c>
      <c r="AB113" s="24">
        <f t="shared" si="33"/>
        <v>14.879781420765028</v>
      </c>
      <c r="AC113" s="24">
        <f>(Z113+AA113)*'space heating'!$C$22</f>
        <v>2.7540983606557377</v>
      </c>
      <c r="AD113" s="24">
        <f>AB113*'space heating'!$C$23</f>
        <v>14.879781420765028</v>
      </c>
      <c r="AE113" s="24">
        <f>(O113+P113-Z113-AA113)*'space heating'!$C$24</f>
        <v>25.967213114754102</v>
      </c>
      <c r="AF113" s="24">
        <f>(O113+P113-Z113-AA113)*'space heating'!$C$25</f>
        <v>25.967213114754102</v>
      </c>
      <c r="AG113" s="24">
        <f>(Q113-AB113)*'space heating'!$C$26</f>
        <v>187.06010928961749</v>
      </c>
      <c r="AH113" s="24">
        <f t="shared" si="34"/>
        <v>28.721311475409841</v>
      </c>
      <c r="AI113" s="24">
        <f t="shared" si="35"/>
        <v>286.40710382513663</v>
      </c>
      <c r="AJ113" s="24">
        <f>IF($A113="South hams",AH113,0)</f>
        <v>0</v>
      </c>
      <c r="AK113" s="24">
        <f>IF($A113="South hams",AI113,0)</f>
        <v>0</v>
      </c>
      <c r="AL113" s="24">
        <f t="shared" si="37"/>
        <v>0</v>
      </c>
      <c r="AM113" s="24">
        <f t="shared" si="38"/>
        <v>0</v>
      </c>
      <c r="AN113" s="24">
        <f>AH113*$D113</f>
        <v>0</v>
      </c>
      <c r="AO113" s="24">
        <f>AI113*$D113</f>
        <v>0</v>
      </c>
      <c r="AP113" s="24">
        <f>IF(AND($A113="teignbridge",$D113&gt;0),AN113,0)</f>
        <v>0</v>
      </c>
      <c r="AQ113" s="24">
        <f>IF(AND($A113="teignbridge",$D113&gt;0),AO113,0)</f>
        <v>0</v>
      </c>
    </row>
    <row r="114" spans="1:43">
      <c r="A114" t="s">
        <v>60</v>
      </c>
      <c r="B114" t="s">
        <v>923</v>
      </c>
      <c r="C114" t="s">
        <v>924</v>
      </c>
      <c r="D114" s="117">
        <v>0</v>
      </c>
      <c r="E114" s="109">
        <v>506</v>
      </c>
      <c r="F114" s="109">
        <v>40</v>
      </c>
      <c r="G114" s="117">
        <v>7.3260073260073263E-2</v>
      </c>
      <c r="H114" s="109">
        <v>518</v>
      </c>
      <c r="I114" s="109">
        <v>0</v>
      </c>
      <c r="J114" s="117">
        <v>0</v>
      </c>
      <c r="K114" s="117">
        <v>5.1282051282051322E-2</v>
      </c>
      <c r="L114" s="109">
        <v>521</v>
      </c>
      <c r="M114" s="109">
        <v>512</v>
      </c>
      <c r="N114" s="109">
        <v>430</v>
      </c>
      <c r="O114" s="109">
        <v>16</v>
      </c>
      <c r="P114" s="109">
        <v>57</v>
      </c>
      <c r="Q114" s="109">
        <v>357</v>
      </c>
      <c r="R114" s="109">
        <v>82</v>
      </c>
      <c r="S114" s="109">
        <v>13</v>
      </c>
      <c r="T114" s="109">
        <v>67</v>
      </c>
      <c r="U114" s="109">
        <v>2</v>
      </c>
      <c r="V114" s="109">
        <v>0</v>
      </c>
      <c r="W114" s="109">
        <v>9</v>
      </c>
      <c r="Y114" s="24">
        <f>(S114+T114)*'space heating'!$C$20</f>
        <v>20</v>
      </c>
      <c r="Z114" s="24">
        <f t="shared" si="31"/>
        <v>0</v>
      </c>
      <c r="AA114" s="24">
        <f t="shared" si="32"/>
        <v>0</v>
      </c>
      <c r="AB114" s="24">
        <f t="shared" si="33"/>
        <v>0</v>
      </c>
      <c r="AC114" s="24">
        <f>(Z114+AA114)*'space heating'!$C$22</f>
        <v>0</v>
      </c>
      <c r="AD114" s="24">
        <f>AB114*'space heating'!$C$23</f>
        <v>0</v>
      </c>
      <c r="AE114" s="24">
        <f>(O114+P114-Z114-AA114)*'space heating'!$C$24</f>
        <v>27.375</v>
      </c>
      <c r="AF114" s="24">
        <f>(O114+P114-Z114-AA114)*'space heating'!$C$25</f>
        <v>27.375</v>
      </c>
      <c r="AG114" s="24">
        <f>(Q114-AB114)*'space heating'!$C$26</f>
        <v>178.5</v>
      </c>
      <c r="AH114" s="24">
        <f t="shared" si="34"/>
        <v>27.375</v>
      </c>
      <c r="AI114" s="24">
        <f t="shared" si="35"/>
        <v>225.875</v>
      </c>
      <c r="AJ114" s="24">
        <f t="shared" ref="AJ114:AJ123" si="59">IF($A114="South hams",AH114,0)</f>
        <v>0</v>
      </c>
      <c r="AK114" s="24">
        <f t="shared" ref="AK114:AK123" si="60">IF($A114="South hams",AI114,0)</f>
        <v>0</v>
      </c>
      <c r="AL114" s="24">
        <f t="shared" si="37"/>
        <v>0</v>
      </c>
      <c r="AM114" s="24">
        <f t="shared" si="38"/>
        <v>0</v>
      </c>
      <c r="AN114" s="24">
        <f t="shared" ref="AN114:AN123" si="61">AH114*$D114</f>
        <v>0</v>
      </c>
      <c r="AO114" s="24">
        <f t="shared" ref="AO114:AO123" si="62">AI114*$D114</f>
        <v>0</v>
      </c>
      <c r="AP114" s="24">
        <f t="shared" ref="AP114:AP123" si="63">IF(AND($A114="teignbridge",$D114&gt;0),AN114,0)</f>
        <v>0</v>
      </c>
      <c r="AQ114" s="24">
        <f t="shared" ref="AQ114:AQ123" si="64">IF(AND($A114="teignbridge",$D114&gt;0),AO114,0)</f>
        <v>0</v>
      </c>
    </row>
    <row r="115" spans="1:43">
      <c r="A115" t="s">
        <v>60</v>
      </c>
      <c r="B115" t="s">
        <v>925</v>
      </c>
      <c r="C115" t="s">
        <v>926</v>
      </c>
      <c r="D115" s="117">
        <v>0</v>
      </c>
      <c r="E115" s="109">
        <v>659</v>
      </c>
      <c r="F115" s="109">
        <v>73</v>
      </c>
      <c r="G115" s="117">
        <v>9.9726775956284153E-2</v>
      </c>
      <c r="H115" s="109">
        <v>610</v>
      </c>
      <c r="I115" s="109">
        <v>40</v>
      </c>
      <c r="J115" s="117">
        <v>5.8055152394775038E-2</v>
      </c>
      <c r="K115" s="117">
        <v>0.10861151427189158</v>
      </c>
      <c r="L115" s="109">
        <v>675</v>
      </c>
      <c r="M115" s="109">
        <v>675</v>
      </c>
      <c r="N115" s="109">
        <v>558</v>
      </c>
      <c r="O115" s="109">
        <v>142</v>
      </c>
      <c r="P115" s="109">
        <v>268</v>
      </c>
      <c r="Q115" s="109">
        <v>148</v>
      </c>
      <c r="R115" s="109">
        <v>117</v>
      </c>
      <c r="S115" s="109">
        <v>94</v>
      </c>
      <c r="T115" s="109">
        <v>20</v>
      </c>
      <c r="U115" s="109">
        <v>3</v>
      </c>
      <c r="V115" s="109">
        <v>0</v>
      </c>
      <c r="W115" s="109">
        <v>0</v>
      </c>
      <c r="Y115" s="24">
        <f>(S115+T115)*'space heating'!$C$20</f>
        <v>28.5</v>
      </c>
      <c r="Z115" s="24">
        <f t="shared" si="31"/>
        <v>8.2438316400580547</v>
      </c>
      <c r="AA115" s="24">
        <f t="shared" si="32"/>
        <v>15.55878084179971</v>
      </c>
      <c r="AB115" s="24">
        <f t="shared" si="33"/>
        <v>8.5921625544267055</v>
      </c>
      <c r="AC115" s="24">
        <f>(Z115+AA115)*'space heating'!$C$22</f>
        <v>23.802612481857764</v>
      </c>
      <c r="AD115" s="24">
        <f>AB115*'space heating'!$C$23</f>
        <v>8.5921625544267055</v>
      </c>
      <c r="AE115" s="24">
        <f>(O115+P115-Z115-AA115)*'space heating'!$C$24</f>
        <v>144.82402031930334</v>
      </c>
      <c r="AF115" s="24">
        <f>(O115+P115-Z115-AA115)*'space heating'!$C$25</f>
        <v>144.82402031930334</v>
      </c>
      <c r="AG115" s="24">
        <f>(Q115-AB115)*'space heating'!$C$26</f>
        <v>69.703918722786653</v>
      </c>
      <c r="AH115" s="24">
        <f t="shared" si="34"/>
        <v>168.62663280116112</v>
      </c>
      <c r="AI115" s="24">
        <f t="shared" si="35"/>
        <v>251.62010159651672</v>
      </c>
      <c r="AJ115" s="24">
        <f t="shared" si="59"/>
        <v>0</v>
      </c>
      <c r="AK115" s="24">
        <f t="shared" si="60"/>
        <v>0</v>
      </c>
      <c r="AL115" s="24">
        <f t="shared" si="37"/>
        <v>0</v>
      </c>
      <c r="AM115" s="24">
        <f t="shared" si="38"/>
        <v>0</v>
      </c>
      <c r="AN115" s="24">
        <f t="shared" si="61"/>
        <v>0</v>
      </c>
      <c r="AO115" s="24">
        <f t="shared" si="62"/>
        <v>0</v>
      </c>
      <c r="AP115" s="24">
        <f t="shared" si="63"/>
        <v>0</v>
      </c>
      <c r="AQ115" s="24">
        <f t="shared" si="64"/>
        <v>0</v>
      </c>
    </row>
    <row r="116" spans="1:43">
      <c r="A116" t="s">
        <v>60</v>
      </c>
      <c r="B116" t="s">
        <v>927</v>
      </c>
      <c r="C116" t="s">
        <v>928</v>
      </c>
      <c r="D116" s="117">
        <v>0</v>
      </c>
      <c r="E116" s="109">
        <v>500</v>
      </c>
      <c r="F116" s="109">
        <v>97</v>
      </c>
      <c r="G116" s="117">
        <v>0.1624790619765494</v>
      </c>
      <c r="H116" s="109">
        <v>453</v>
      </c>
      <c r="I116" s="109">
        <v>10</v>
      </c>
      <c r="J116" s="117">
        <v>1.9723865877712032E-2</v>
      </c>
      <c r="K116" s="117">
        <v>0.22148216427304179</v>
      </c>
      <c r="L116" s="109">
        <v>603</v>
      </c>
      <c r="M116" s="109">
        <v>596</v>
      </c>
      <c r="N116" s="109">
        <v>389</v>
      </c>
      <c r="O116" s="109">
        <v>42</v>
      </c>
      <c r="P116" s="109">
        <v>129</v>
      </c>
      <c r="Q116" s="109">
        <v>218</v>
      </c>
      <c r="R116" s="109">
        <v>205</v>
      </c>
      <c r="S116" s="109">
        <v>144</v>
      </c>
      <c r="T116" s="109">
        <v>45</v>
      </c>
      <c r="U116" s="109">
        <v>16</v>
      </c>
      <c r="V116" s="109">
        <v>2</v>
      </c>
      <c r="W116" s="109">
        <v>7</v>
      </c>
      <c r="Y116" s="24">
        <f>(S116+T116)*'space heating'!$C$20</f>
        <v>47.25</v>
      </c>
      <c r="Z116" s="24">
        <f t="shared" si="31"/>
        <v>0.82840236686390534</v>
      </c>
      <c r="AA116" s="24">
        <f t="shared" si="32"/>
        <v>2.5443786982248522</v>
      </c>
      <c r="AB116" s="24">
        <f t="shared" si="33"/>
        <v>4.2998027613412226</v>
      </c>
      <c r="AC116" s="24">
        <f>(Z116+AA116)*'space heating'!$C$22</f>
        <v>3.3727810650887573</v>
      </c>
      <c r="AD116" s="24">
        <f>AB116*'space heating'!$C$23</f>
        <v>4.2998027613412226</v>
      </c>
      <c r="AE116" s="24">
        <f>(O116+P116-Z116-AA116)*'space heating'!$C$24</f>
        <v>62.860207100591715</v>
      </c>
      <c r="AF116" s="24">
        <f>(O116+P116-Z116-AA116)*'space heating'!$C$25</f>
        <v>62.860207100591715</v>
      </c>
      <c r="AG116" s="24">
        <f>(Q116-AB116)*'space heating'!$C$26</f>
        <v>106.85009861932939</v>
      </c>
      <c r="AH116" s="24">
        <f t="shared" si="34"/>
        <v>66.232988165680467</v>
      </c>
      <c r="AI116" s="24">
        <f t="shared" si="35"/>
        <v>221.26010848126231</v>
      </c>
      <c r="AJ116" s="24">
        <f t="shared" si="59"/>
        <v>0</v>
      </c>
      <c r="AK116" s="24">
        <f t="shared" si="60"/>
        <v>0</v>
      </c>
      <c r="AL116" s="24">
        <f t="shared" si="37"/>
        <v>0</v>
      </c>
      <c r="AM116" s="24">
        <f t="shared" si="38"/>
        <v>0</v>
      </c>
      <c r="AN116" s="24">
        <f t="shared" si="61"/>
        <v>0</v>
      </c>
      <c r="AO116" s="24">
        <f t="shared" si="62"/>
        <v>0</v>
      </c>
      <c r="AP116" s="24">
        <f t="shared" si="63"/>
        <v>0</v>
      </c>
      <c r="AQ116" s="24">
        <f t="shared" si="64"/>
        <v>0</v>
      </c>
    </row>
    <row r="117" spans="1:43">
      <c r="A117" t="s">
        <v>60</v>
      </c>
      <c r="B117" t="s">
        <v>929</v>
      </c>
      <c r="C117" t="s">
        <v>930</v>
      </c>
      <c r="D117" s="117">
        <v>0</v>
      </c>
      <c r="E117" s="109">
        <v>424</v>
      </c>
      <c r="F117" s="109">
        <v>97</v>
      </c>
      <c r="G117" s="117">
        <v>0.18618042226487524</v>
      </c>
      <c r="H117" s="109">
        <v>424</v>
      </c>
      <c r="I117" s="109">
        <v>46</v>
      </c>
      <c r="J117" s="117">
        <v>9.2741935483870969E-2</v>
      </c>
      <c r="K117" s="117">
        <v>9.3438486781004221E-2</v>
      </c>
      <c r="L117" s="109">
        <v>469</v>
      </c>
      <c r="M117" s="109">
        <v>464</v>
      </c>
      <c r="N117" s="109">
        <v>398</v>
      </c>
      <c r="O117" s="109">
        <v>264</v>
      </c>
      <c r="P117" s="109">
        <v>86</v>
      </c>
      <c r="Q117" s="109">
        <v>48</v>
      </c>
      <c r="R117" s="109">
        <v>66</v>
      </c>
      <c r="S117" s="109">
        <v>31</v>
      </c>
      <c r="T117" s="109">
        <v>34</v>
      </c>
      <c r="U117" s="109">
        <v>1</v>
      </c>
      <c r="V117" s="109">
        <v>0</v>
      </c>
      <c r="W117" s="109">
        <v>5</v>
      </c>
      <c r="Y117" s="24">
        <f>(S117+T117)*'space heating'!$C$20</f>
        <v>16.25</v>
      </c>
      <c r="Z117" s="24">
        <f t="shared" si="31"/>
        <v>24.483870967741936</v>
      </c>
      <c r="AA117" s="24">
        <f t="shared" si="32"/>
        <v>7.975806451612903</v>
      </c>
      <c r="AB117" s="24">
        <f t="shared" si="33"/>
        <v>4.4516129032258061</v>
      </c>
      <c r="AC117" s="24">
        <f>(Z117+AA117)*'space heating'!$C$22</f>
        <v>32.45967741935484</v>
      </c>
      <c r="AD117" s="24">
        <f>AB117*'space heating'!$C$23</f>
        <v>4.4516129032258061</v>
      </c>
      <c r="AE117" s="24">
        <f>(O117+P117-Z117-AA117)*'space heating'!$C$24</f>
        <v>119.07762096774192</v>
      </c>
      <c r="AF117" s="24">
        <f>(O117+P117-Z117-AA117)*'space heating'!$C$25</f>
        <v>119.07762096774192</v>
      </c>
      <c r="AG117" s="24">
        <f>(Q117-AB117)*'space heating'!$C$26</f>
        <v>21.774193548387096</v>
      </c>
      <c r="AH117" s="24">
        <f t="shared" si="34"/>
        <v>151.53729838709677</v>
      </c>
      <c r="AI117" s="24">
        <f t="shared" si="35"/>
        <v>161.55342741935485</v>
      </c>
      <c r="AJ117" s="24">
        <f t="shared" si="59"/>
        <v>0</v>
      </c>
      <c r="AK117" s="24">
        <f t="shared" si="60"/>
        <v>0</v>
      </c>
      <c r="AL117" s="24">
        <f t="shared" si="37"/>
        <v>0</v>
      </c>
      <c r="AM117" s="24">
        <f t="shared" si="38"/>
        <v>0</v>
      </c>
      <c r="AN117" s="24">
        <f t="shared" si="61"/>
        <v>0</v>
      </c>
      <c r="AO117" s="24">
        <f t="shared" si="62"/>
        <v>0</v>
      </c>
      <c r="AP117" s="24">
        <f t="shared" si="63"/>
        <v>0</v>
      </c>
      <c r="AQ117" s="24">
        <f t="shared" si="64"/>
        <v>0</v>
      </c>
    </row>
    <row r="118" spans="1:43">
      <c r="A118" t="s">
        <v>60</v>
      </c>
      <c r="B118" t="s">
        <v>931</v>
      </c>
      <c r="C118" t="s">
        <v>932</v>
      </c>
      <c r="D118" s="117">
        <v>0</v>
      </c>
      <c r="E118" s="109">
        <v>515</v>
      </c>
      <c r="F118" s="109">
        <v>163</v>
      </c>
      <c r="G118" s="117">
        <v>0.24041297935103245</v>
      </c>
      <c r="H118" s="109">
        <v>547</v>
      </c>
      <c r="I118" s="109">
        <v>18</v>
      </c>
      <c r="J118" s="117">
        <v>2.748091603053435E-2</v>
      </c>
      <c r="K118" s="117">
        <v>0.16573442320250401</v>
      </c>
      <c r="L118" s="109">
        <v>643</v>
      </c>
      <c r="M118" s="109">
        <v>627</v>
      </c>
      <c r="N118" s="109">
        <v>444</v>
      </c>
      <c r="O118" s="109">
        <v>80</v>
      </c>
      <c r="P118" s="109">
        <v>182</v>
      </c>
      <c r="Q118" s="109">
        <v>182</v>
      </c>
      <c r="R118" s="109">
        <v>182</v>
      </c>
      <c r="S118" s="109">
        <v>102</v>
      </c>
      <c r="T118" s="109">
        <v>78</v>
      </c>
      <c r="U118" s="109">
        <v>2</v>
      </c>
      <c r="V118" s="109">
        <v>1</v>
      </c>
      <c r="W118" s="109">
        <v>16</v>
      </c>
      <c r="Y118" s="24">
        <f>(S118+T118)*'space heating'!$C$20</f>
        <v>45</v>
      </c>
      <c r="Z118" s="24">
        <f t="shared" si="31"/>
        <v>2.1984732824427482</v>
      </c>
      <c r="AA118" s="24">
        <f t="shared" si="32"/>
        <v>5.001526717557252</v>
      </c>
      <c r="AB118" s="24">
        <f t="shared" si="33"/>
        <v>5.001526717557252</v>
      </c>
      <c r="AC118" s="24">
        <f>(Z118+AA118)*'space heating'!$C$22</f>
        <v>7.2</v>
      </c>
      <c r="AD118" s="24">
        <f>AB118*'space heating'!$C$23</f>
        <v>5.001526717557252</v>
      </c>
      <c r="AE118" s="24">
        <f>(O118+P118-Z118-AA118)*'space heating'!$C$24</f>
        <v>95.55</v>
      </c>
      <c r="AF118" s="24">
        <f>(O118+P118-Z118-AA118)*'space heating'!$C$25</f>
        <v>95.55</v>
      </c>
      <c r="AG118" s="24">
        <f>(Q118-AB118)*'space heating'!$C$26</f>
        <v>88.499236641221373</v>
      </c>
      <c r="AH118" s="24">
        <f t="shared" si="34"/>
        <v>102.75</v>
      </c>
      <c r="AI118" s="24">
        <f t="shared" si="35"/>
        <v>234.05076335877862</v>
      </c>
      <c r="AJ118" s="24">
        <f t="shared" si="59"/>
        <v>0</v>
      </c>
      <c r="AK118" s="24">
        <f t="shared" si="60"/>
        <v>0</v>
      </c>
      <c r="AL118" s="24">
        <f t="shared" si="37"/>
        <v>0</v>
      </c>
      <c r="AM118" s="24">
        <f t="shared" si="38"/>
        <v>0</v>
      </c>
      <c r="AN118" s="24">
        <f t="shared" si="61"/>
        <v>0</v>
      </c>
      <c r="AO118" s="24">
        <f t="shared" si="62"/>
        <v>0</v>
      </c>
      <c r="AP118" s="24">
        <f t="shared" si="63"/>
        <v>0</v>
      </c>
      <c r="AQ118" s="24">
        <f t="shared" si="64"/>
        <v>0</v>
      </c>
    </row>
    <row r="119" spans="1:43">
      <c r="A119" t="s">
        <v>60</v>
      </c>
      <c r="B119" t="s">
        <v>933</v>
      </c>
      <c r="C119" t="s">
        <v>934</v>
      </c>
      <c r="D119" s="117">
        <v>0</v>
      </c>
      <c r="E119" s="109">
        <v>478</v>
      </c>
      <c r="F119" s="109">
        <v>45</v>
      </c>
      <c r="G119" s="117">
        <v>8.6042065009560229E-2</v>
      </c>
      <c r="H119" s="109">
        <v>480</v>
      </c>
      <c r="I119" s="109">
        <v>17</v>
      </c>
      <c r="J119" s="117">
        <v>3.3333333333333333E-2</v>
      </c>
      <c r="K119" s="117">
        <v>4.8884639898024267E-2</v>
      </c>
      <c r="L119" s="109">
        <v>497</v>
      </c>
      <c r="M119" s="109">
        <v>497</v>
      </c>
      <c r="N119" s="109">
        <v>461</v>
      </c>
      <c r="O119" s="109">
        <v>36</v>
      </c>
      <c r="P119" s="109">
        <v>283</v>
      </c>
      <c r="Q119" s="109">
        <v>142</v>
      </c>
      <c r="R119" s="109">
        <v>36</v>
      </c>
      <c r="S119" s="109">
        <v>34</v>
      </c>
      <c r="T119" s="109">
        <v>1</v>
      </c>
      <c r="U119" s="109">
        <v>1</v>
      </c>
      <c r="V119" s="109">
        <v>0</v>
      </c>
      <c r="W119" s="109">
        <v>0</v>
      </c>
      <c r="Y119" s="24">
        <f>(S119+T119)*'space heating'!$C$20</f>
        <v>8.75</v>
      </c>
      <c r="Z119" s="24">
        <f t="shared" si="31"/>
        <v>1.2</v>
      </c>
      <c r="AA119" s="24">
        <f t="shared" si="32"/>
        <v>9.4333333333333336</v>
      </c>
      <c r="AB119" s="24">
        <f t="shared" si="33"/>
        <v>4.7333333333333334</v>
      </c>
      <c r="AC119" s="24">
        <f>(Z119+AA119)*'space heating'!$C$22</f>
        <v>10.633333333333333</v>
      </c>
      <c r="AD119" s="24">
        <f>AB119*'space heating'!$C$23</f>
        <v>4.7333333333333334</v>
      </c>
      <c r="AE119" s="24">
        <f>(O119+P119-Z119-AA119)*'space heating'!$C$24</f>
        <v>115.6375</v>
      </c>
      <c r="AF119" s="24">
        <f>(O119+P119-Z119-AA119)*'space heating'!$C$25</f>
        <v>115.6375</v>
      </c>
      <c r="AG119" s="24">
        <f>(Q119-AB119)*'space heating'!$C$26</f>
        <v>68.63333333333334</v>
      </c>
      <c r="AH119" s="24">
        <f t="shared" si="34"/>
        <v>126.27083333333334</v>
      </c>
      <c r="AI119" s="24">
        <f t="shared" si="35"/>
        <v>197.75416666666666</v>
      </c>
      <c r="AJ119" s="24">
        <f t="shared" si="59"/>
        <v>0</v>
      </c>
      <c r="AK119" s="24">
        <f t="shared" si="60"/>
        <v>0</v>
      </c>
      <c r="AL119" s="24">
        <f t="shared" si="37"/>
        <v>0</v>
      </c>
      <c r="AM119" s="24">
        <f t="shared" si="38"/>
        <v>0</v>
      </c>
      <c r="AN119" s="24">
        <f t="shared" si="61"/>
        <v>0</v>
      </c>
      <c r="AO119" s="24">
        <f t="shared" si="62"/>
        <v>0</v>
      </c>
      <c r="AP119" s="24">
        <f t="shared" si="63"/>
        <v>0</v>
      </c>
      <c r="AQ119" s="24">
        <f t="shared" si="64"/>
        <v>0</v>
      </c>
    </row>
    <row r="120" spans="1:43">
      <c r="A120" t="s">
        <v>60</v>
      </c>
      <c r="B120" t="s">
        <v>935</v>
      </c>
      <c r="C120" t="s">
        <v>936</v>
      </c>
      <c r="D120" s="117">
        <v>0</v>
      </c>
      <c r="E120" s="109">
        <v>512</v>
      </c>
      <c r="F120" s="109">
        <v>171</v>
      </c>
      <c r="G120" s="117">
        <v>0.25036603221083453</v>
      </c>
      <c r="H120" s="109">
        <v>527</v>
      </c>
      <c r="I120" s="109">
        <v>32</v>
      </c>
      <c r="J120" s="117">
        <v>4.8484848484848485E-2</v>
      </c>
      <c r="K120" s="117">
        <v>0.17991925107591286</v>
      </c>
      <c r="L120" s="109">
        <v>637</v>
      </c>
      <c r="M120" s="109">
        <v>637</v>
      </c>
      <c r="N120" s="109">
        <v>626</v>
      </c>
      <c r="O120" s="109">
        <v>219</v>
      </c>
      <c r="P120" s="109">
        <v>216</v>
      </c>
      <c r="Q120" s="109">
        <v>191</v>
      </c>
      <c r="R120" s="109">
        <v>11</v>
      </c>
      <c r="S120" s="109">
        <v>6</v>
      </c>
      <c r="T120" s="109">
        <v>3</v>
      </c>
      <c r="U120" s="109">
        <v>2</v>
      </c>
      <c r="V120" s="109">
        <v>0</v>
      </c>
      <c r="W120" s="109">
        <v>0</v>
      </c>
      <c r="Y120" s="24">
        <f>(S120+T120)*'space heating'!$C$20</f>
        <v>2.25</v>
      </c>
      <c r="Z120" s="24">
        <f t="shared" si="31"/>
        <v>10.618181818181819</v>
      </c>
      <c r="AA120" s="24">
        <f t="shared" si="32"/>
        <v>10.472727272727273</v>
      </c>
      <c r="AB120" s="24">
        <f t="shared" si="33"/>
        <v>9.2606060606060598</v>
      </c>
      <c r="AC120" s="24">
        <f>(Z120+AA120)*'space heating'!$C$22</f>
        <v>21.090909090909093</v>
      </c>
      <c r="AD120" s="24">
        <f>AB120*'space heating'!$C$23</f>
        <v>9.2606060606060598</v>
      </c>
      <c r="AE120" s="24">
        <f>(O120+P120-Z120-AA120)*'space heating'!$C$24</f>
        <v>155.21590909090907</v>
      </c>
      <c r="AF120" s="24">
        <f>(O120+P120-Z120-AA120)*'space heating'!$C$25</f>
        <v>155.21590909090907</v>
      </c>
      <c r="AG120" s="24">
        <f>(Q120-AB120)*'space heating'!$C$26</f>
        <v>90.869696969696975</v>
      </c>
      <c r="AH120" s="24">
        <f t="shared" si="34"/>
        <v>176.30681818181816</v>
      </c>
      <c r="AI120" s="24">
        <f t="shared" si="35"/>
        <v>257.59621212121209</v>
      </c>
      <c r="AJ120" s="24">
        <f t="shared" si="59"/>
        <v>0</v>
      </c>
      <c r="AK120" s="24">
        <f t="shared" si="60"/>
        <v>0</v>
      </c>
      <c r="AL120" s="24">
        <f t="shared" si="37"/>
        <v>0</v>
      </c>
      <c r="AM120" s="24">
        <f t="shared" si="38"/>
        <v>0</v>
      </c>
      <c r="AN120" s="24">
        <f t="shared" si="61"/>
        <v>0</v>
      </c>
      <c r="AO120" s="24">
        <f t="shared" si="62"/>
        <v>0</v>
      </c>
      <c r="AP120" s="24">
        <f t="shared" si="63"/>
        <v>0</v>
      </c>
      <c r="AQ120" s="24">
        <f t="shared" si="64"/>
        <v>0</v>
      </c>
    </row>
    <row r="121" spans="1:43">
      <c r="A121" t="s">
        <v>60</v>
      </c>
      <c r="B121" t="s">
        <v>937</v>
      </c>
      <c r="C121" t="s">
        <v>938</v>
      </c>
      <c r="D121" s="117">
        <v>0</v>
      </c>
      <c r="E121" s="109">
        <v>657</v>
      </c>
      <c r="F121" s="109">
        <v>64</v>
      </c>
      <c r="G121" s="117">
        <v>8.8765603328710127E-2</v>
      </c>
      <c r="H121" s="109">
        <v>639</v>
      </c>
      <c r="I121" s="109">
        <v>15</v>
      </c>
      <c r="J121" s="117">
        <v>2.3076923076923078E-2</v>
      </c>
      <c r="K121" s="117">
        <v>9.0654006187986719E-2</v>
      </c>
      <c r="L121" s="109">
        <v>674</v>
      </c>
      <c r="M121" s="109">
        <v>674</v>
      </c>
      <c r="N121" s="109">
        <v>622</v>
      </c>
      <c r="O121" s="109">
        <v>331</v>
      </c>
      <c r="P121" s="109">
        <v>180</v>
      </c>
      <c r="Q121" s="109">
        <v>111</v>
      </c>
      <c r="R121" s="109">
        <v>51</v>
      </c>
      <c r="S121" s="109">
        <v>43</v>
      </c>
      <c r="T121" s="109">
        <v>8</v>
      </c>
      <c r="U121" s="109">
        <v>0</v>
      </c>
      <c r="V121" s="109">
        <v>1</v>
      </c>
      <c r="W121" s="109">
        <v>0</v>
      </c>
      <c r="Y121" s="24">
        <f>(S121+T121)*'space heating'!$C$20</f>
        <v>12.75</v>
      </c>
      <c r="Z121" s="24">
        <f t="shared" si="31"/>
        <v>7.6384615384615389</v>
      </c>
      <c r="AA121" s="24">
        <f t="shared" si="32"/>
        <v>4.1538461538461542</v>
      </c>
      <c r="AB121" s="24">
        <f t="shared" si="33"/>
        <v>2.5615384615384618</v>
      </c>
      <c r="AC121" s="24">
        <f>(Z121+AA121)*'space heating'!$C$22</f>
        <v>11.792307692307693</v>
      </c>
      <c r="AD121" s="24">
        <f>AB121*'space heating'!$C$23</f>
        <v>2.5615384615384618</v>
      </c>
      <c r="AE121" s="24">
        <f>(O121+P121-Z121-AA121)*'space heating'!$C$24</f>
        <v>187.20288461538462</v>
      </c>
      <c r="AF121" s="24">
        <f>(O121+P121-Z121-AA121)*'space heating'!$C$25</f>
        <v>187.20288461538462</v>
      </c>
      <c r="AG121" s="24">
        <f>(Q121-AB121)*'space heating'!$C$26</f>
        <v>54.219230769230769</v>
      </c>
      <c r="AH121" s="24">
        <f t="shared" si="34"/>
        <v>198.99519230769232</v>
      </c>
      <c r="AI121" s="24">
        <f t="shared" si="35"/>
        <v>256.73365384615386</v>
      </c>
      <c r="AJ121" s="24">
        <f t="shared" si="59"/>
        <v>0</v>
      </c>
      <c r="AK121" s="24">
        <f t="shared" si="60"/>
        <v>0</v>
      </c>
      <c r="AL121" s="24">
        <f t="shared" si="37"/>
        <v>0</v>
      </c>
      <c r="AM121" s="24">
        <f t="shared" si="38"/>
        <v>0</v>
      </c>
      <c r="AN121" s="24">
        <f t="shared" si="61"/>
        <v>0</v>
      </c>
      <c r="AO121" s="24">
        <f t="shared" si="62"/>
        <v>0</v>
      </c>
      <c r="AP121" s="24">
        <f t="shared" si="63"/>
        <v>0</v>
      </c>
      <c r="AQ121" s="24">
        <f t="shared" si="64"/>
        <v>0</v>
      </c>
    </row>
    <row r="122" spans="1:43">
      <c r="A122" t="s">
        <v>60</v>
      </c>
      <c r="B122" t="s">
        <v>939</v>
      </c>
      <c r="C122" t="s">
        <v>940</v>
      </c>
      <c r="D122" s="117">
        <v>0</v>
      </c>
      <c r="E122" s="109">
        <v>572</v>
      </c>
      <c r="F122" s="109">
        <v>25</v>
      </c>
      <c r="G122" s="117">
        <v>4.1876046901172533E-2</v>
      </c>
      <c r="H122" s="109">
        <v>570</v>
      </c>
      <c r="I122" s="109">
        <v>19</v>
      </c>
      <c r="J122" s="117">
        <v>3.1879194630872486E-2</v>
      </c>
      <c r="K122" s="117">
        <v>1.334693602239382E-2</v>
      </c>
      <c r="L122" s="109">
        <v>575</v>
      </c>
      <c r="M122" s="109">
        <v>575</v>
      </c>
      <c r="N122" s="109">
        <v>568</v>
      </c>
      <c r="O122" s="109">
        <v>430</v>
      </c>
      <c r="P122" s="109">
        <v>126</v>
      </c>
      <c r="Q122" s="109">
        <v>12</v>
      </c>
      <c r="R122" s="109">
        <v>7</v>
      </c>
      <c r="S122" s="109">
        <v>4</v>
      </c>
      <c r="T122" s="109">
        <v>3</v>
      </c>
      <c r="U122" s="109">
        <v>0</v>
      </c>
      <c r="V122" s="109">
        <v>0</v>
      </c>
      <c r="W122" s="109">
        <v>0</v>
      </c>
      <c r="Y122" s="24">
        <f>(S122+T122)*'space heating'!$C$20</f>
        <v>1.75</v>
      </c>
      <c r="Z122" s="24">
        <f t="shared" si="31"/>
        <v>13.708053691275168</v>
      </c>
      <c r="AA122" s="24">
        <f t="shared" si="32"/>
        <v>4.0167785234899336</v>
      </c>
      <c r="AB122" s="24">
        <f t="shared" si="33"/>
        <v>0.3825503355704698</v>
      </c>
      <c r="AC122" s="24">
        <f>(Z122+AA122)*'space heating'!$C$22</f>
        <v>17.724832214765101</v>
      </c>
      <c r="AD122" s="24">
        <f>AB122*'space heating'!$C$23</f>
        <v>0.3825503355704698</v>
      </c>
      <c r="AE122" s="24">
        <f>(O122+P122-Z122-AA122)*'space heating'!$C$24</f>
        <v>201.8531879194631</v>
      </c>
      <c r="AF122" s="24">
        <f>(O122+P122-Z122-AA122)*'space heating'!$C$25</f>
        <v>201.8531879194631</v>
      </c>
      <c r="AG122" s="24">
        <f>(Q122-AB122)*'space heating'!$C$26</f>
        <v>5.8087248322147653</v>
      </c>
      <c r="AH122" s="24">
        <f t="shared" si="34"/>
        <v>219.57802013422821</v>
      </c>
      <c r="AI122" s="24">
        <f t="shared" si="35"/>
        <v>209.79446308724835</v>
      </c>
      <c r="AJ122" s="24">
        <f t="shared" si="59"/>
        <v>0</v>
      </c>
      <c r="AK122" s="24">
        <f t="shared" si="60"/>
        <v>0</v>
      </c>
      <c r="AL122" s="24">
        <f t="shared" si="37"/>
        <v>0</v>
      </c>
      <c r="AM122" s="24">
        <f t="shared" si="38"/>
        <v>0</v>
      </c>
      <c r="AN122" s="24">
        <f t="shared" si="61"/>
        <v>0</v>
      </c>
      <c r="AO122" s="24">
        <f t="shared" si="62"/>
        <v>0</v>
      </c>
      <c r="AP122" s="24">
        <f t="shared" si="63"/>
        <v>0</v>
      </c>
      <c r="AQ122" s="24">
        <f t="shared" si="64"/>
        <v>0</v>
      </c>
    </row>
    <row r="123" spans="1:43">
      <c r="A123" t="s">
        <v>60</v>
      </c>
      <c r="B123" t="s">
        <v>941</v>
      </c>
      <c r="C123" t="s">
        <v>942</v>
      </c>
      <c r="D123" s="117">
        <v>0.84905660377358483</v>
      </c>
      <c r="E123" s="109">
        <v>628</v>
      </c>
      <c r="F123" s="109">
        <v>73</v>
      </c>
      <c r="G123" s="117">
        <v>0.10413694721825963</v>
      </c>
      <c r="H123" s="109">
        <v>512</v>
      </c>
      <c r="I123" s="109">
        <v>146</v>
      </c>
      <c r="J123" s="117">
        <v>0.22358346094946402</v>
      </c>
      <c r="K123" s="117">
        <v>4.6031374999180752E-2</v>
      </c>
      <c r="L123" s="109">
        <v>716</v>
      </c>
      <c r="M123" s="109">
        <v>716</v>
      </c>
      <c r="N123" s="109">
        <v>657</v>
      </c>
      <c r="O123" s="109">
        <v>293</v>
      </c>
      <c r="P123" s="109">
        <v>233</v>
      </c>
      <c r="Q123" s="109">
        <v>131</v>
      </c>
      <c r="R123" s="109">
        <v>14</v>
      </c>
      <c r="S123" s="109">
        <v>6</v>
      </c>
      <c r="T123" s="109">
        <v>7</v>
      </c>
      <c r="U123" s="109">
        <v>1</v>
      </c>
      <c r="V123" s="109">
        <v>45</v>
      </c>
      <c r="W123" s="109">
        <v>0</v>
      </c>
      <c r="Y123" s="24">
        <f>(S123+T123)*'space heating'!$C$20</f>
        <v>3.25</v>
      </c>
      <c r="Z123" s="24">
        <f t="shared" si="31"/>
        <v>65.50995405819296</v>
      </c>
      <c r="AA123" s="24">
        <f t="shared" si="32"/>
        <v>52.094946401225116</v>
      </c>
      <c r="AB123" s="24">
        <f t="shared" si="33"/>
        <v>29.289433384379787</v>
      </c>
      <c r="AC123" s="24">
        <f>(Z123+AA123)*'space heating'!$C$22</f>
        <v>117.60490045941808</v>
      </c>
      <c r="AD123" s="24">
        <f>AB123*'space heating'!$C$23</f>
        <v>29.289433384379787</v>
      </c>
      <c r="AE123" s="24">
        <f>(O123+P123-Z123-AA123)*'space heating'!$C$24</f>
        <v>153.14816232771821</v>
      </c>
      <c r="AF123" s="24">
        <f>(O123+P123-Z123-AA123)*'space heating'!$C$25</f>
        <v>153.14816232771821</v>
      </c>
      <c r="AG123" s="24">
        <f>(Q123-AB123)*'space heating'!$C$26</f>
        <v>50.855283307810105</v>
      </c>
      <c r="AH123" s="24">
        <f t="shared" si="34"/>
        <v>270.75306278713629</v>
      </c>
      <c r="AI123" s="24">
        <f t="shared" si="35"/>
        <v>236.54287901990813</v>
      </c>
      <c r="AJ123" s="24">
        <f t="shared" si="59"/>
        <v>0</v>
      </c>
      <c r="AK123" s="24">
        <f t="shared" si="60"/>
        <v>0</v>
      </c>
      <c r="AL123" s="24">
        <f t="shared" si="37"/>
        <v>0</v>
      </c>
      <c r="AM123" s="24">
        <f t="shared" si="38"/>
        <v>0</v>
      </c>
      <c r="AN123" s="24">
        <f t="shared" si="61"/>
        <v>229.8846759513421</v>
      </c>
      <c r="AO123" s="24">
        <f t="shared" si="62"/>
        <v>200.83829350746916</v>
      </c>
      <c r="AP123" s="24">
        <f t="shared" si="63"/>
        <v>229.8846759513421</v>
      </c>
      <c r="AQ123" s="24">
        <f t="shared" si="64"/>
        <v>200.83829350746916</v>
      </c>
    </row>
    <row r="124" spans="1:43">
      <c r="A124" t="s">
        <v>60</v>
      </c>
      <c r="B124" t="s">
        <v>943</v>
      </c>
      <c r="C124" t="s">
        <v>944</v>
      </c>
      <c r="D124" s="117">
        <v>1</v>
      </c>
      <c r="E124" s="109">
        <v>739</v>
      </c>
      <c r="F124" s="109">
        <v>141</v>
      </c>
      <c r="G124" s="117">
        <v>0.16022727272727272</v>
      </c>
      <c r="H124" s="109">
        <v>766</v>
      </c>
      <c r="I124" s="109">
        <v>9</v>
      </c>
      <c r="J124" s="117">
        <v>1.1221945137157107E-2</v>
      </c>
      <c r="K124" s="117">
        <v>0.11832350940829742</v>
      </c>
      <c r="L124" s="109">
        <v>794</v>
      </c>
      <c r="M124" s="109">
        <v>791</v>
      </c>
      <c r="N124" s="109">
        <v>614</v>
      </c>
      <c r="O124" s="109">
        <v>109</v>
      </c>
      <c r="P124" s="109">
        <v>152</v>
      </c>
      <c r="Q124" s="109">
        <v>353</v>
      </c>
      <c r="R124" s="109">
        <v>176</v>
      </c>
      <c r="S124" s="109">
        <v>77</v>
      </c>
      <c r="T124" s="109">
        <v>59</v>
      </c>
      <c r="U124" s="109">
        <v>40</v>
      </c>
      <c r="V124" s="109">
        <v>1</v>
      </c>
      <c r="W124" s="109">
        <v>3</v>
      </c>
      <c r="Y124" s="24">
        <f>(S124+T124)*'space heating'!$C$20</f>
        <v>34</v>
      </c>
      <c r="Z124" s="24">
        <f t="shared" si="31"/>
        <v>1.2231920199501247</v>
      </c>
      <c r="AA124" s="24">
        <f t="shared" si="32"/>
        <v>1.7057356608478804</v>
      </c>
      <c r="AB124" s="24">
        <f t="shared" si="33"/>
        <v>3.9613466334164591</v>
      </c>
      <c r="AC124" s="24">
        <f>(Z124+AA124)*'space heating'!$C$22</f>
        <v>2.9289276807980054</v>
      </c>
      <c r="AD124" s="24">
        <f>AB124*'space heating'!$C$23</f>
        <v>3.9613466334164591</v>
      </c>
      <c r="AE124" s="24">
        <f>(O124+P124-Z124-AA124)*'space heating'!$C$24</f>
        <v>96.776652119700742</v>
      </c>
      <c r="AF124" s="24">
        <f>(O124+P124-Z124-AA124)*'space heating'!$C$25</f>
        <v>96.776652119700742</v>
      </c>
      <c r="AG124" s="24">
        <f>(Q124-AB124)*'space heating'!$C$26</f>
        <v>174.51932668329178</v>
      </c>
      <c r="AH124" s="24">
        <f t="shared" si="34"/>
        <v>99.705579800498754</v>
      </c>
      <c r="AI124" s="24">
        <f t="shared" si="35"/>
        <v>309.25732543640902</v>
      </c>
      <c r="AJ124" s="24">
        <f>IF($A124="South hams",AH124,0)</f>
        <v>0</v>
      </c>
      <c r="AK124" s="24">
        <f>IF($A124="South hams",AI124,0)</f>
        <v>0</v>
      </c>
      <c r="AL124" s="24">
        <f t="shared" si="37"/>
        <v>0</v>
      </c>
      <c r="AM124" s="24">
        <f t="shared" si="38"/>
        <v>0</v>
      </c>
      <c r="AN124" s="24">
        <f>AH124*$D124</f>
        <v>99.705579800498754</v>
      </c>
      <c r="AO124" s="24">
        <f>AI124*$D124</f>
        <v>309.25732543640902</v>
      </c>
      <c r="AP124" s="24">
        <f>IF(AND($A124="teignbridge",$D124&gt;0),AN124,0)</f>
        <v>99.705579800498754</v>
      </c>
      <c r="AQ124" s="24">
        <f>IF(AND($A124="teignbridge",$D124&gt;0),AO124,0)</f>
        <v>309.25732543640902</v>
      </c>
    </row>
    <row r="125" spans="1:43">
      <c r="A125" t="s">
        <v>60</v>
      </c>
      <c r="B125" t="s">
        <v>945</v>
      </c>
      <c r="C125" t="s">
        <v>946</v>
      </c>
      <c r="D125" s="117">
        <v>1</v>
      </c>
      <c r="E125" s="109">
        <v>487</v>
      </c>
      <c r="F125" s="109">
        <v>83</v>
      </c>
      <c r="G125" s="117">
        <v>0.14561403508771931</v>
      </c>
      <c r="H125" s="109">
        <v>452</v>
      </c>
      <c r="I125" s="109">
        <v>123</v>
      </c>
      <c r="J125" s="117">
        <v>0.22202166064981949</v>
      </c>
      <c r="K125" s="117">
        <v>-1.5004116790170385E-2</v>
      </c>
      <c r="L125" s="109">
        <v>543</v>
      </c>
      <c r="M125" s="109">
        <v>543</v>
      </c>
      <c r="N125" s="109">
        <v>517</v>
      </c>
      <c r="O125" s="109">
        <v>308</v>
      </c>
      <c r="P125" s="109">
        <v>139</v>
      </c>
      <c r="Q125" s="109">
        <v>70</v>
      </c>
      <c r="R125" s="109">
        <v>21</v>
      </c>
      <c r="S125" s="109">
        <v>3</v>
      </c>
      <c r="T125" s="109">
        <v>15</v>
      </c>
      <c r="U125" s="109">
        <v>3</v>
      </c>
      <c r="V125" s="109">
        <v>5</v>
      </c>
      <c r="W125" s="109">
        <v>0</v>
      </c>
      <c r="Y125" s="24">
        <f>(S125+T125)*'space heating'!$C$20</f>
        <v>4.5</v>
      </c>
      <c r="Z125" s="24">
        <f t="shared" si="31"/>
        <v>68.382671480144396</v>
      </c>
      <c r="AA125" s="24">
        <f t="shared" si="32"/>
        <v>30.861010830324908</v>
      </c>
      <c r="AB125" s="24">
        <f t="shared" si="33"/>
        <v>15.541516245487363</v>
      </c>
      <c r="AC125" s="24">
        <f>(Z125+AA125)*'space heating'!$C$22</f>
        <v>99.243682310469296</v>
      </c>
      <c r="AD125" s="24">
        <f>AB125*'space heating'!$C$23</f>
        <v>15.541516245487363</v>
      </c>
      <c r="AE125" s="24">
        <f>(O125+P125-Z125-AA125)*'space heating'!$C$24</f>
        <v>130.40861913357401</v>
      </c>
      <c r="AF125" s="24">
        <f>(O125+P125-Z125-AA125)*'space heating'!$C$25</f>
        <v>130.40861913357401</v>
      </c>
      <c r="AG125" s="24">
        <f>(Q125-AB125)*'space heating'!$C$26</f>
        <v>27.229241877256317</v>
      </c>
      <c r="AH125" s="24">
        <f t="shared" si="34"/>
        <v>229.6523014440433</v>
      </c>
      <c r="AI125" s="24">
        <f t="shared" si="35"/>
        <v>177.67937725631771</v>
      </c>
      <c r="AJ125" s="24">
        <f t="shared" ref="AJ125:AJ139" si="65">IF($A125="South hams",AH125,0)</f>
        <v>0</v>
      </c>
      <c r="AK125" s="24">
        <f t="shared" ref="AK125:AK139" si="66">IF($A125="South hams",AI125,0)</f>
        <v>0</v>
      </c>
      <c r="AL125" s="24">
        <f t="shared" si="37"/>
        <v>0</v>
      </c>
      <c r="AM125" s="24">
        <f t="shared" si="38"/>
        <v>0</v>
      </c>
      <c r="AN125" s="24">
        <f t="shared" ref="AN125:AN139" si="67">AH125*$D125</f>
        <v>229.6523014440433</v>
      </c>
      <c r="AO125" s="24">
        <f t="shared" ref="AO125:AO139" si="68">AI125*$D125</f>
        <v>177.67937725631771</v>
      </c>
      <c r="AP125" s="24">
        <f t="shared" ref="AP125:AP139" si="69">IF(AND($A125="teignbridge",$D125&gt;0),AN125,0)</f>
        <v>229.6523014440433</v>
      </c>
      <c r="AQ125" s="24">
        <f t="shared" ref="AQ125:AQ139" si="70">IF(AND($A125="teignbridge",$D125&gt;0),AO125,0)</f>
        <v>177.67937725631771</v>
      </c>
    </row>
    <row r="126" spans="1:43">
      <c r="A126" t="s">
        <v>60</v>
      </c>
      <c r="B126" t="s">
        <v>947</v>
      </c>
      <c r="C126" t="s">
        <v>948</v>
      </c>
      <c r="D126" s="117">
        <v>1</v>
      </c>
      <c r="E126" s="109">
        <v>496</v>
      </c>
      <c r="F126" s="109">
        <v>180</v>
      </c>
      <c r="G126" s="117">
        <v>0.26627218934911245</v>
      </c>
      <c r="H126" s="109">
        <v>535</v>
      </c>
      <c r="I126" s="109">
        <v>46</v>
      </c>
      <c r="J126" s="117">
        <v>6.9802731411229141E-2</v>
      </c>
      <c r="K126" s="117">
        <v>0.1387771502455756</v>
      </c>
      <c r="L126" s="109">
        <v>618</v>
      </c>
      <c r="M126" s="109">
        <v>618</v>
      </c>
      <c r="N126" s="109">
        <v>516</v>
      </c>
      <c r="O126" s="109">
        <v>57</v>
      </c>
      <c r="P126" s="109">
        <v>175</v>
      </c>
      <c r="Q126" s="109">
        <v>284</v>
      </c>
      <c r="R126" s="109">
        <v>102</v>
      </c>
      <c r="S126" s="109">
        <v>73</v>
      </c>
      <c r="T126" s="109">
        <v>19</v>
      </c>
      <c r="U126" s="109">
        <v>10</v>
      </c>
      <c r="V126" s="109">
        <v>0</v>
      </c>
      <c r="W126" s="109">
        <v>0</v>
      </c>
      <c r="Y126" s="24">
        <f>(S126+T126)*'space heating'!$C$20</f>
        <v>23</v>
      </c>
      <c r="Z126" s="24">
        <f t="shared" si="31"/>
        <v>3.9787556904400612</v>
      </c>
      <c r="AA126" s="24">
        <f t="shared" si="32"/>
        <v>12.215477996965099</v>
      </c>
      <c r="AB126" s="24">
        <f t="shared" si="33"/>
        <v>19.823975720789075</v>
      </c>
      <c r="AC126" s="24">
        <f>(Z126+AA126)*'space heating'!$C$22</f>
        <v>16.194233687405159</v>
      </c>
      <c r="AD126" s="24">
        <f>AB126*'space heating'!$C$23</f>
        <v>19.823975720789075</v>
      </c>
      <c r="AE126" s="24">
        <f>(O126+P126-Z126-AA126)*'space heating'!$C$24</f>
        <v>80.927162367223062</v>
      </c>
      <c r="AF126" s="24">
        <f>(O126+P126-Z126-AA126)*'space heating'!$C$25</f>
        <v>80.927162367223062</v>
      </c>
      <c r="AG126" s="24">
        <f>(Q126-AB126)*'space heating'!$C$26</f>
        <v>132.08801213960547</v>
      </c>
      <c r="AH126" s="24">
        <f t="shared" si="34"/>
        <v>97.121396054628221</v>
      </c>
      <c r="AI126" s="24">
        <f t="shared" si="35"/>
        <v>255.83915022761761</v>
      </c>
      <c r="AJ126" s="24">
        <f t="shared" si="65"/>
        <v>0</v>
      </c>
      <c r="AK126" s="24">
        <f t="shared" si="66"/>
        <v>0</v>
      </c>
      <c r="AL126" s="24">
        <f t="shared" si="37"/>
        <v>0</v>
      </c>
      <c r="AM126" s="24">
        <f t="shared" si="38"/>
        <v>0</v>
      </c>
      <c r="AN126" s="24">
        <f t="shared" si="67"/>
        <v>97.121396054628221</v>
      </c>
      <c r="AO126" s="24">
        <f t="shared" si="68"/>
        <v>255.83915022761761</v>
      </c>
      <c r="AP126" s="24">
        <f t="shared" si="69"/>
        <v>97.121396054628221</v>
      </c>
      <c r="AQ126" s="24">
        <f t="shared" si="70"/>
        <v>255.83915022761761</v>
      </c>
    </row>
    <row r="127" spans="1:43">
      <c r="A127" t="s">
        <v>60</v>
      </c>
      <c r="B127" t="s">
        <v>949</v>
      </c>
      <c r="C127" t="s">
        <v>950</v>
      </c>
      <c r="D127" s="117">
        <v>0.660377358490566</v>
      </c>
      <c r="E127" s="109">
        <v>646</v>
      </c>
      <c r="F127" s="109">
        <v>126</v>
      </c>
      <c r="G127" s="117">
        <v>0.16321243523316062</v>
      </c>
      <c r="H127" s="109">
        <v>603</v>
      </c>
      <c r="I127" s="109">
        <v>81</v>
      </c>
      <c r="J127" s="117">
        <v>0.11505681818181818</v>
      </c>
      <c r="K127" s="117">
        <v>0.10385509891662742</v>
      </c>
      <c r="L127" s="109">
        <v>711</v>
      </c>
      <c r="M127" s="109">
        <v>711</v>
      </c>
      <c r="N127" s="109">
        <v>623</v>
      </c>
      <c r="O127" s="109">
        <v>210</v>
      </c>
      <c r="P127" s="109">
        <v>141</v>
      </c>
      <c r="Q127" s="109">
        <v>272</v>
      </c>
      <c r="R127" s="109">
        <v>73</v>
      </c>
      <c r="S127" s="109">
        <v>25</v>
      </c>
      <c r="T127" s="109">
        <v>41</v>
      </c>
      <c r="U127" s="109">
        <v>7</v>
      </c>
      <c r="V127" s="109">
        <v>15</v>
      </c>
      <c r="W127" s="109">
        <v>0</v>
      </c>
      <c r="Y127" s="24">
        <f>(S127+T127)*'space heating'!$C$20</f>
        <v>16.5</v>
      </c>
      <c r="Z127" s="24">
        <f t="shared" si="31"/>
        <v>24.161931818181817</v>
      </c>
      <c r="AA127" s="24">
        <f t="shared" si="32"/>
        <v>16.223011363636363</v>
      </c>
      <c r="AB127" s="24">
        <f t="shared" si="33"/>
        <v>31.295454545454543</v>
      </c>
      <c r="AC127" s="24">
        <f>(Z127+AA127)*'space heating'!$C$22</f>
        <v>40.38494318181818</v>
      </c>
      <c r="AD127" s="24">
        <f>AB127*'space heating'!$C$23</f>
        <v>31.295454545454543</v>
      </c>
      <c r="AE127" s="24">
        <f>(O127+P127-Z127-AA127)*'space heating'!$C$24</f>
        <v>116.48064630681819</v>
      </c>
      <c r="AF127" s="24">
        <f>(O127+P127-Z127-AA127)*'space heating'!$C$25</f>
        <v>116.48064630681819</v>
      </c>
      <c r="AG127" s="24">
        <f>(Q127-AB127)*'space heating'!$C$26</f>
        <v>120.35227272727273</v>
      </c>
      <c r="AH127" s="24">
        <f t="shared" si="34"/>
        <v>156.86558948863637</v>
      </c>
      <c r="AI127" s="24">
        <f t="shared" si="35"/>
        <v>284.6283735795455</v>
      </c>
      <c r="AJ127" s="24">
        <f t="shared" si="65"/>
        <v>0</v>
      </c>
      <c r="AK127" s="24">
        <f t="shared" si="66"/>
        <v>0</v>
      </c>
      <c r="AL127" s="24">
        <f t="shared" si="37"/>
        <v>0</v>
      </c>
      <c r="AM127" s="24">
        <f t="shared" si="38"/>
        <v>0</v>
      </c>
      <c r="AN127" s="24">
        <f t="shared" si="67"/>
        <v>103.59048362457118</v>
      </c>
      <c r="AO127" s="24">
        <f t="shared" si="68"/>
        <v>187.96213349592625</v>
      </c>
      <c r="AP127" s="24">
        <f t="shared" si="69"/>
        <v>103.59048362457118</v>
      </c>
      <c r="AQ127" s="24">
        <f t="shared" si="70"/>
        <v>187.96213349592625</v>
      </c>
    </row>
    <row r="128" spans="1:43">
      <c r="A128" t="s">
        <v>60</v>
      </c>
      <c r="B128" t="s">
        <v>951</v>
      </c>
      <c r="C128" t="s">
        <v>952</v>
      </c>
      <c r="D128" s="117">
        <v>0</v>
      </c>
      <c r="E128" s="109">
        <v>401</v>
      </c>
      <c r="F128" s="109">
        <v>117</v>
      </c>
      <c r="G128" s="117">
        <v>0.22586872586872586</v>
      </c>
      <c r="H128" s="109">
        <v>124</v>
      </c>
      <c r="I128" s="109">
        <v>296</v>
      </c>
      <c r="J128" s="117">
        <v>0.64628820960698685</v>
      </c>
      <c r="K128" s="117">
        <v>0.1143295510107738</v>
      </c>
      <c r="L128" s="109">
        <v>460</v>
      </c>
      <c r="M128" s="109">
        <v>460</v>
      </c>
      <c r="N128" s="109">
        <v>406</v>
      </c>
      <c r="O128" s="109">
        <v>178</v>
      </c>
      <c r="P128" s="109">
        <v>166</v>
      </c>
      <c r="Q128" s="109">
        <v>62</v>
      </c>
      <c r="R128" s="109">
        <v>48</v>
      </c>
      <c r="S128" s="109">
        <v>5</v>
      </c>
      <c r="T128" s="109">
        <v>41</v>
      </c>
      <c r="U128" s="109">
        <v>2</v>
      </c>
      <c r="V128" s="109">
        <v>6</v>
      </c>
      <c r="W128" s="109">
        <v>0</v>
      </c>
      <c r="Y128" s="24">
        <f>(S128+T128)*'space heating'!$C$20</f>
        <v>11.5</v>
      </c>
      <c r="Z128" s="24">
        <f t="shared" si="31"/>
        <v>115.03930131004365</v>
      </c>
      <c r="AA128" s="24">
        <f t="shared" si="32"/>
        <v>107.28384279475982</v>
      </c>
      <c r="AB128" s="24">
        <f t="shared" si="33"/>
        <v>40.069868995633186</v>
      </c>
      <c r="AC128" s="24">
        <f>(Z128+AA128)*'space heating'!$C$22</f>
        <v>222.32314410480348</v>
      </c>
      <c r="AD128" s="24">
        <f>AB128*'space heating'!$C$23</f>
        <v>40.069868995633186</v>
      </c>
      <c r="AE128" s="24">
        <f>(O128+P128-Z128-AA128)*'space heating'!$C$24</f>
        <v>45.628820960698704</v>
      </c>
      <c r="AF128" s="24">
        <f>(O128+P128-Z128-AA128)*'space heating'!$C$25</f>
        <v>45.628820960698704</v>
      </c>
      <c r="AG128" s="24">
        <f>(Q128-AB128)*'space heating'!$C$26</f>
        <v>10.965065502183407</v>
      </c>
      <c r="AH128" s="24">
        <f t="shared" si="34"/>
        <v>267.95196506550218</v>
      </c>
      <c r="AI128" s="24">
        <f t="shared" si="35"/>
        <v>108.1637554585153</v>
      </c>
      <c r="AJ128" s="24">
        <f t="shared" si="65"/>
        <v>0</v>
      </c>
      <c r="AK128" s="24">
        <f t="shared" si="66"/>
        <v>0</v>
      </c>
      <c r="AL128" s="24">
        <f t="shared" si="37"/>
        <v>0</v>
      </c>
      <c r="AM128" s="24">
        <f t="shared" si="38"/>
        <v>0</v>
      </c>
      <c r="AN128" s="24">
        <f t="shared" si="67"/>
        <v>0</v>
      </c>
      <c r="AO128" s="24">
        <f t="shared" si="68"/>
        <v>0</v>
      </c>
      <c r="AP128" s="24">
        <f t="shared" si="69"/>
        <v>0</v>
      </c>
      <c r="AQ128" s="24">
        <f t="shared" si="70"/>
        <v>0</v>
      </c>
    </row>
    <row r="129" spans="1:43">
      <c r="A129" t="s">
        <v>60</v>
      </c>
      <c r="B129" t="s">
        <v>953</v>
      </c>
      <c r="C129" t="s">
        <v>954</v>
      </c>
      <c r="D129" s="117">
        <v>0</v>
      </c>
      <c r="E129" s="109">
        <v>621</v>
      </c>
      <c r="F129" s="109">
        <v>97</v>
      </c>
      <c r="G129" s="117">
        <v>0.13509749303621169</v>
      </c>
      <c r="H129" s="109">
        <v>574</v>
      </c>
      <c r="I129" s="109">
        <v>51</v>
      </c>
      <c r="J129" s="117">
        <v>7.6923076923076927E-2</v>
      </c>
      <c r="K129" s="117">
        <v>0.12363402614098989</v>
      </c>
      <c r="L129" s="109">
        <v>689</v>
      </c>
      <c r="M129" s="109">
        <v>686</v>
      </c>
      <c r="N129" s="109">
        <v>600</v>
      </c>
      <c r="O129" s="109">
        <v>210</v>
      </c>
      <c r="P129" s="109">
        <v>206</v>
      </c>
      <c r="Q129" s="109">
        <v>184</v>
      </c>
      <c r="R129" s="109">
        <v>69</v>
      </c>
      <c r="S129" s="109">
        <v>46</v>
      </c>
      <c r="T129" s="109">
        <v>19</v>
      </c>
      <c r="U129" s="109">
        <v>4</v>
      </c>
      <c r="V129" s="109">
        <v>17</v>
      </c>
      <c r="W129" s="109">
        <v>3</v>
      </c>
      <c r="Y129" s="24">
        <f>(S129+T129)*'space heating'!$C$20</f>
        <v>16.25</v>
      </c>
      <c r="Z129" s="24">
        <f t="shared" si="31"/>
        <v>16.153846153846153</v>
      </c>
      <c r="AA129" s="24">
        <f t="shared" si="32"/>
        <v>15.846153846153847</v>
      </c>
      <c r="AB129" s="24">
        <f t="shared" si="33"/>
        <v>14.153846153846155</v>
      </c>
      <c r="AC129" s="24">
        <f>(Z129+AA129)*'space heating'!$C$22</f>
        <v>32</v>
      </c>
      <c r="AD129" s="24">
        <f>AB129*'space heating'!$C$23</f>
        <v>14.153846153846155</v>
      </c>
      <c r="AE129" s="24">
        <f>(O129+P129-Z129-AA129)*'space heating'!$C$24</f>
        <v>144</v>
      </c>
      <c r="AF129" s="24">
        <f>(O129+P129-Z129-AA129)*'space heating'!$C$25</f>
        <v>144</v>
      </c>
      <c r="AG129" s="24">
        <f>(Q129-AB129)*'space heating'!$C$26</f>
        <v>84.92307692307692</v>
      </c>
      <c r="AH129" s="24">
        <f t="shared" si="34"/>
        <v>176</v>
      </c>
      <c r="AI129" s="24">
        <f t="shared" si="35"/>
        <v>259.32692307692309</v>
      </c>
      <c r="AJ129" s="24">
        <f t="shared" si="65"/>
        <v>0</v>
      </c>
      <c r="AK129" s="24">
        <f t="shared" si="66"/>
        <v>0</v>
      </c>
      <c r="AL129" s="24">
        <f t="shared" si="37"/>
        <v>0</v>
      </c>
      <c r="AM129" s="24">
        <f t="shared" si="38"/>
        <v>0</v>
      </c>
      <c r="AN129" s="24">
        <f t="shared" si="67"/>
        <v>0</v>
      </c>
      <c r="AO129" s="24">
        <f t="shared" si="68"/>
        <v>0</v>
      </c>
      <c r="AP129" s="24">
        <f t="shared" si="69"/>
        <v>0</v>
      </c>
      <c r="AQ129" s="24">
        <f t="shared" si="70"/>
        <v>0</v>
      </c>
    </row>
    <row r="130" spans="1:43">
      <c r="A130" t="s">
        <v>60</v>
      </c>
      <c r="B130" t="s">
        <v>955</v>
      </c>
      <c r="C130" t="s">
        <v>956</v>
      </c>
      <c r="D130" s="117">
        <v>0</v>
      </c>
      <c r="E130" s="109">
        <v>666</v>
      </c>
      <c r="F130" s="109">
        <v>81</v>
      </c>
      <c r="G130" s="117">
        <v>0.10843373493975904</v>
      </c>
      <c r="H130" s="109">
        <v>633</v>
      </c>
      <c r="I130" s="109">
        <v>34</v>
      </c>
      <c r="J130" s="117">
        <v>4.8022598870056499E-2</v>
      </c>
      <c r="K130" s="117">
        <v>0.10458784289701178</v>
      </c>
      <c r="L130" s="109">
        <v>701</v>
      </c>
      <c r="M130" s="109">
        <v>701</v>
      </c>
      <c r="N130" s="109">
        <v>635</v>
      </c>
      <c r="O130" s="109">
        <v>410</v>
      </c>
      <c r="P130" s="109">
        <v>190</v>
      </c>
      <c r="Q130" s="109">
        <v>35</v>
      </c>
      <c r="R130" s="109">
        <v>40</v>
      </c>
      <c r="S130" s="109">
        <v>14</v>
      </c>
      <c r="T130" s="109">
        <v>21</v>
      </c>
      <c r="U130" s="109">
        <v>5</v>
      </c>
      <c r="V130" s="109">
        <v>26</v>
      </c>
      <c r="W130" s="109">
        <v>0</v>
      </c>
      <c r="Y130" s="24">
        <f>(S130+T130)*'space heating'!$C$20</f>
        <v>8.75</v>
      </c>
      <c r="Z130" s="24">
        <f t="shared" si="31"/>
        <v>19.689265536723166</v>
      </c>
      <c r="AA130" s="24">
        <f t="shared" si="32"/>
        <v>9.1242937853107353</v>
      </c>
      <c r="AB130" s="24">
        <f t="shared" si="33"/>
        <v>1.6807909604519775</v>
      </c>
      <c r="AC130" s="24">
        <f>(Z130+AA130)*'space heating'!$C$22</f>
        <v>28.813559322033903</v>
      </c>
      <c r="AD130" s="24">
        <f>AB130*'space heating'!$C$23</f>
        <v>1.6807909604519775</v>
      </c>
      <c r="AE130" s="24">
        <f>(O130+P130-Z130-AA130)*'space heating'!$C$24</f>
        <v>214.19491525423729</v>
      </c>
      <c r="AF130" s="24">
        <f>(O130+P130-Z130-AA130)*'space heating'!$C$25</f>
        <v>214.19491525423729</v>
      </c>
      <c r="AG130" s="24">
        <f>(Q130-AB130)*'space heating'!$C$26</f>
        <v>16.65960451977401</v>
      </c>
      <c r="AH130" s="24">
        <f t="shared" si="34"/>
        <v>243.0084745762712</v>
      </c>
      <c r="AI130" s="24">
        <f t="shared" si="35"/>
        <v>241.28531073446328</v>
      </c>
      <c r="AJ130" s="24">
        <f t="shared" si="65"/>
        <v>0</v>
      </c>
      <c r="AK130" s="24">
        <f t="shared" si="66"/>
        <v>0</v>
      </c>
      <c r="AL130" s="24">
        <f t="shared" si="37"/>
        <v>0</v>
      </c>
      <c r="AM130" s="24">
        <f t="shared" si="38"/>
        <v>0</v>
      </c>
      <c r="AN130" s="24">
        <f t="shared" si="67"/>
        <v>0</v>
      </c>
      <c r="AO130" s="24">
        <f t="shared" si="68"/>
        <v>0</v>
      </c>
      <c r="AP130" s="24">
        <f t="shared" si="69"/>
        <v>0</v>
      </c>
      <c r="AQ130" s="24">
        <f t="shared" si="70"/>
        <v>0</v>
      </c>
    </row>
    <row r="131" spans="1:43">
      <c r="A131" t="s">
        <v>60</v>
      </c>
      <c r="B131" t="s">
        <v>957</v>
      </c>
      <c r="C131" t="s">
        <v>958</v>
      </c>
      <c r="D131" s="117">
        <v>0</v>
      </c>
      <c r="E131" s="109">
        <v>562</v>
      </c>
      <c r="F131" s="109">
        <v>76</v>
      </c>
      <c r="G131" s="117">
        <v>0.11912225705329153</v>
      </c>
      <c r="H131" s="109">
        <v>569</v>
      </c>
      <c r="I131" s="109">
        <v>51</v>
      </c>
      <c r="J131" s="117">
        <v>8.1081081081081086E-2</v>
      </c>
      <c r="K131" s="117">
        <v>2.7069389138354605E-2</v>
      </c>
      <c r="L131" s="109">
        <v>612</v>
      </c>
      <c r="M131" s="109">
        <v>612</v>
      </c>
      <c r="N131" s="109">
        <v>571</v>
      </c>
      <c r="O131" s="109">
        <v>400</v>
      </c>
      <c r="P131" s="109">
        <v>155</v>
      </c>
      <c r="Q131" s="109">
        <v>16</v>
      </c>
      <c r="R131" s="109">
        <v>28</v>
      </c>
      <c r="S131" s="109">
        <v>21</v>
      </c>
      <c r="T131" s="109">
        <v>3</v>
      </c>
      <c r="U131" s="109">
        <v>4</v>
      </c>
      <c r="V131" s="109">
        <v>13</v>
      </c>
      <c r="W131" s="109">
        <v>0</v>
      </c>
      <c r="Y131" s="24">
        <f>(S131+T131)*'space heating'!$C$20</f>
        <v>6</v>
      </c>
      <c r="Z131" s="24">
        <f t="shared" si="31"/>
        <v>32.432432432432435</v>
      </c>
      <c r="AA131" s="24">
        <f t="shared" si="32"/>
        <v>12.567567567567568</v>
      </c>
      <c r="AB131" s="24">
        <f t="shared" si="33"/>
        <v>1.2972972972972974</v>
      </c>
      <c r="AC131" s="24">
        <f>(Z131+AA131)*'space heating'!$C$22</f>
        <v>45</v>
      </c>
      <c r="AD131" s="24">
        <f>AB131*'space heating'!$C$23</f>
        <v>1.2972972972972974</v>
      </c>
      <c r="AE131" s="24">
        <f>(O131+P131-Z131-AA131)*'space heating'!$C$24</f>
        <v>191.25000000000003</v>
      </c>
      <c r="AF131" s="24">
        <f>(O131+P131-Z131-AA131)*'space heating'!$C$25</f>
        <v>191.25000000000003</v>
      </c>
      <c r="AG131" s="24">
        <f>(Q131-AB131)*'space heating'!$C$26</f>
        <v>7.3513513513513509</v>
      </c>
      <c r="AH131" s="24">
        <f t="shared" si="34"/>
        <v>236.25000000000003</v>
      </c>
      <c r="AI131" s="24">
        <f t="shared" si="35"/>
        <v>205.89864864864867</v>
      </c>
      <c r="AJ131" s="24">
        <f t="shared" si="65"/>
        <v>0</v>
      </c>
      <c r="AK131" s="24">
        <f t="shared" si="66"/>
        <v>0</v>
      </c>
      <c r="AL131" s="24">
        <f t="shared" si="37"/>
        <v>0</v>
      </c>
      <c r="AM131" s="24">
        <f t="shared" si="38"/>
        <v>0</v>
      </c>
      <c r="AN131" s="24">
        <f t="shared" si="67"/>
        <v>0</v>
      </c>
      <c r="AO131" s="24">
        <f t="shared" si="68"/>
        <v>0</v>
      </c>
      <c r="AP131" s="24">
        <f t="shared" si="69"/>
        <v>0</v>
      </c>
      <c r="AQ131" s="24">
        <f t="shared" si="70"/>
        <v>0</v>
      </c>
    </row>
    <row r="132" spans="1:43">
      <c r="A132" t="s">
        <v>60</v>
      </c>
      <c r="B132" t="s">
        <v>959</v>
      </c>
      <c r="C132" t="s">
        <v>960</v>
      </c>
      <c r="D132" s="117">
        <v>0</v>
      </c>
      <c r="E132" s="109">
        <v>490</v>
      </c>
      <c r="F132" s="109">
        <v>142</v>
      </c>
      <c r="G132" s="117">
        <v>0.22468354430379747</v>
      </c>
      <c r="H132" s="109">
        <v>432</v>
      </c>
      <c r="I132" s="109">
        <v>141</v>
      </c>
      <c r="J132" s="117">
        <v>0.21759259259259259</v>
      </c>
      <c r="K132" s="117">
        <v>9.8863103609939079E-2</v>
      </c>
      <c r="L132" s="109">
        <v>648</v>
      </c>
      <c r="M132" s="109">
        <v>648</v>
      </c>
      <c r="N132" s="109">
        <v>602</v>
      </c>
      <c r="O132" s="109">
        <v>304</v>
      </c>
      <c r="P132" s="109">
        <v>133</v>
      </c>
      <c r="Q132" s="109">
        <v>165</v>
      </c>
      <c r="R132" s="109">
        <v>10</v>
      </c>
      <c r="S132" s="109">
        <v>4</v>
      </c>
      <c r="T132" s="109">
        <v>4</v>
      </c>
      <c r="U132" s="109">
        <v>2</v>
      </c>
      <c r="V132" s="109">
        <v>36</v>
      </c>
      <c r="W132" s="109">
        <v>0</v>
      </c>
      <c r="Y132" s="24">
        <f>(S132+T132)*'space heating'!$C$20</f>
        <v>2</v>
      </c>
      <c r="Z132" s="24">
        <f t="shared" ref="Z132:Z166" si="71">$J132*O132</f>
        <v>66.148148148148152</v>
      </c>
      <c r="AA132" s="24">
        <f t="shared" ref="AA132:AA166" si="72">$J132*P132</f>
        <v>28.939814814814813</v>
      </c>
      <c r="AB132" s="24">
        <f t="shared" ref="AB132:AB166" si="73">$J132*Q132</f>
        <v>35.902777777777779</v>
      </c>
      <c r="AC132" s="24">
        <f>(Z132+AA132)*'space heating'!$C$22</f>
        <v>95.087962962962962</v>
      </c>
      <c r="AD132" s="24">
        <f>AB132*'space heating'!$C$23</f>
        <v>35.902777777777779</v>
      </c>
      <c r="AE132" s="24">
        <f>(O132+P132-Z132-AA132)*'space heating'!$C$24</f>
        <v>128.21701388888889</v>
      </c>
      <c r="AF132" s="24">
        <f>(O132+P132-Z132-AA132)*'space heating'!$C$25</f>
        <v>128.21701388888889</v>
      </c>
      <c r="AG132" s="24">
        <f>(Q132-AB132)*'space heating'!$C$26</f>
        <v>64.548611111111114</v>
      </c>
      <c r="AH132" s="24">
        <f t="shared" ref="AH132:AH166" si="74">AC132+AE132</f>
        <v>223.30497685185185</v>
      </c>
      <c r="AI132" s="24">
        <f t="shared" ref="AI132:AI166" si="75">Y132+AD132+AF132+AG132</f>
        <v>230.66840277777777</v>
      </c>
      <c r="AJ132" s="24">
        <f t="shared" si="65"/>
        <v>0</v>
      </c>
      <c r="AK132" s="24">
        <f t="shared" si="66"/>
        <v>0</v>
      </c>
      <c r="AL132" s="24">
        <f t="shared" ref="AL132:AL166" si="76">IF($A132="west devon",AH132,0)</f>
        <v>0</v>
      </c>
      <c r="AM132" s="24">
        <f t="shared" ref="AM132:AM166" si="77">IF($A132="west devon",AI132,0)</f>
        <v>0</v>
      </c>
      <c r="AN132" s="24">
        <f t="shared" si="67"/>
        <v>0</v>
      </c>
      <c r="AO132" s="24">
        <f t="shared" si="68"/>
        <v>0</v>
      </c>
      <c r="AP132" s="24">
        <f t="shared" si="69"/>
        <v>0</v>
      </c>
      <c r="AQ132" s="24">
        <f t="shared" si="70"/>
        <v>0</v>
      </c>
    </row>
    <row r="133" spans="1:43">
      <c r="A133" t="s">
        <v>60</v>
      </c>
      <c r="B133" t="s">
        <v>961</v>
      </c>
      <c r="C133" t="s">
        <v>962</v>
      </c>
      <c r="D133" s="117">
        <v>0</v>
      </c>
      <c r="E133" s="109">
        <v>460</v>
      </c>
      <c r="F133" s="109">
        <v>150</v>
      </c>
      <c r="G133" s="117">
        <v>0.24590163934426229</v>
      </c>
      <c r="H133" s="109">
        <v>189</v>
      </c>
      <c r="I133" s="109">
        <v>397</v>
      </c>
      <c r="J133" s="117">
        <v>0.74344569288389517</v>
      </c>
      <c r="K133" s="117">
        <v>-5.3281758457665584E-2</v>
      </c>
      <c r="L133" s="109">
        <v>571</v>
      </c>
      <c r="M133" s="109">
        <v>571</v>
      </c>
      <c r="N133" s="109">
        <v>550</v>
      </c>
      <c r="O133" s="109">
        <v>304</v>
      </c>
      <c r="P133" s="109">
        <v>147</v>
      </c>
      <c r="Q133" s="109">
        <v>99</v>
      </c>
      <c r="R133" s="109">
        <v>15</v>
      </c>
      <c r="S133" s="109">
        <v>3</v>
      </c>
      <c r="T133" s="109">
        <v>10</v>
      </c>
      <c r="U133" s="109">
        <v>2</v>
      </c>
      <c r="V133" s="109">
        <v>6</v>
      </c>
      <c r="W133" s="109">
        <v>0</v>
      </c>
      <c r="Y133" s="24">
        <f>(S133+T133)*'space heating'!$C$20</f>
        <v>3.25</v>
      </c>
      <c r="Z133" s="24">
        <f t="shared" si="71"/>
        <v>226.00749063670412</v>
      </c>
      <c r="AA133" s="24">
        <f t="shared" si="72"/>
        <v>109.2865168539326</v>
      </c>
      <c r="AB133" s="24">
        <f t="shared" si="73"/>
        <v>73.601123595505626</v>
      </c>
      <c r="AC133" s="24">
        <f>(Z133+AA133)*'space heating'!$C$22</f>
        <v>335.29400749063672</v>
      </c>
      <c r="AD133" s="24">
        <f>AB133*'space heating'!$C$23</f>
        <v>73.601123595505626</v>
      </c>
      <c r="AE133" s="24">
        <f>(O133+P133-Z133-AA133)*'space heating'!$C$24</f>
        <v>43.389747191011232</v>
      </c>
      <c r="AF133" s="24">
        <f>(O133+P133-Z133-AA133)*'space heating'!$C$25</f>
        <v>43.389747191011232</v>
      </c>
      <c r="AG133" s="24">
        <f>(Q133-AB133)*'space heating'!$C$26</f>
        <v>12.699438202247187</v>
      </c>
      <c r="AH133" s="24">
        <f t="shared" si="74"/>
        <v>378.68375468164794</v>
      </c>
      <c r="AI133" s="24">
        <f t="shared" si="75"/>
        <v>132.94030898876406</v>
      </c>
      <c r="AJ133" s="24">
        <f t="shared" si="65"/>
        <v>0</v>
      </c>
      <c r="AK133" s="24">
        <f t="shared" si="66"/>
        <v>0</v>
      </c>
      <c r="AL133" s="24">
        <f t="shared" si="76"/>
        <v>0</v>
      </c>
      <c r="AM133" s="24">
        <f t="shared" si="77"/>
        <v>0</v>
      </c>
      <c r="AN133" s="24">
        <f t="shared" si="67"/>
        <v>0</v>
      </c>
      <c r="AO133" s="24">
        <f t="shared" si="68"/>
        <v>0</v>
      </c>
      <c r="AP133" s="24">
        <f t="shared" si="69"/>
        <v>0</v>
      </c>
      <c r="AQ133" s="24">
        <f t="shared" si="70"/>
        <v>0</v>
      </c>
    </row>
    <row r="134" spans="1:43">
      <c r="A134" t="s">
        <v>60</v>
      </c>
      <c r="B134" t="s">
        <v>963</v>
      </c>
      <c r="C134" t="s">
        <v>964</v>
      </c>
      <c r="D134" s="117">
        <v>0</v>
      </c>
      <c r="E134" s="109">
        <v>433</v>
      </c>
      <c r="F134" s="109">
        <v>139</v>
      </c>
      <c r="G134" s="117">
        <v>0.24300699300699299</v>
      </c>
      <c r="H134" s="109">
        <v>449</v>
      </c>
      <c r="I134" s="109">
        <v>28</v>
      </c>
      <c r="J134" s="117">
        <v>5.1001821493624776E-2</v>
      </c>
      <c r="K134" s="117">
        <v>0.16403314354134022</v>
      </c>
      <c r="L134" s="109">
        <v>538</v>
      </c>
      <c r="M134" s="109">
        <v>538</v>
      </c>
      <c r="N134" s="109">
        <v>510</v>
      </c>
      <c r="O134" s="109">
        <v>220</v>
      </c>
      <c r="P134" s="109">
        <v>165</v>
      </c>
      <c r="Q134" s="109">
        <v>125</v>
      </c>
      <c r="R134" s="109">
        <v>27</v>
      </c>
      <c r="S134" s="109">
        <v>19</v>
      </c>
      <c r="T134" s="109">
        <v>8</v>
      </c>
      <c r="U134" s="109">
        <v>0</v>
      </c>
      <c r="V134" s="109">
        <v>1</v>
      </c>
      <c r="W134" s="109">
        <v>0</v>
      </c>
      <c r="Y134" s="24">
        <f>(S134+T134)*'space heating'!$C$20</f>
        <v>6.75</v>
      </c>
      <c r="Z134" s="24">
        <f t="shared" si="71"/>
        <v>11.220400728597451</v>
      </c>
      <c r="AA134" s="24">
        <f t="shared" si="72"/>
        <v>8.4153005464480888</v>
      </c>
      <c r="AB134" s="24">
        <f t="shared" si="73"/>
        <v>6.3752276867030968</v>
      </c>
      <c r="AC134" s="24">
        <f>(Z134+AA134)*'space heating'!$C$22</f>
        <v>19.635701275045541</v>
      </c>
      <c r="AD134" s="24">
        <f>AB134*'space heating'!$C$23</f>
        <v>6.3752276867030968</v>
      </c>
      <c r="AE134" s="24">
        <f>(O134+P134-Z134-AA134)*'space heating'!$C$24</f>
        <v>137.01161202185793</v>
      </c>
      <c r="AF134" s="24">
        <f>(O134+P134-Z134-AA134)*'space heating'!$C$25</f>
        <v>137.01161202185793</v>
      </c>
      <c r="AG134" s="24">
        <f>(Q134-AB134)*'space heating'!$C$26</f>
        <v>59.312386156648451</v>
      </c>
      <c r="AH134" s="24">
        <f t="shared" si="74"/>
        <v>156.64731329690346</v>
      </c>
      <c r="AI134" s="24">
        <f t="shared" si="75"/>
        <v>209.44922586520946</v>
      </c>
      <c r="AJ134" s="24">
        <f t="shared" si="65"/>
        <v>0</v>
      </c>
      <c r="AK134" s="24">
        <f t="shared" si="66"/>
        <v>0</v>
      </c>
      <c r="AL134" s="24">
        <f t="shared" si="76"/>
        <v>0</v>
      </c>
      <c r="AM134" s="24">
        <f t="shared" si="77"/>
        <v>0</v>
      </c>
      <c r="AN134" s="24">
        <f t="shared" si="67"/>
        <v>0</v>
      </c>
      <c r="AO134" s="24">
        <f t="shared" si="68"/>
        <v>0</v>
      </c>
      <c r="AP134" s="24">
        <f t="shared" si="69"/>
        <v>0</v>
      </c>
      <c r="AQ134" s="24">
        <f t="shared" si="70"/>
        <v>0</v>
      </c>
    </row>
    <row r="135" spans="1:43">
      <c r="A135" t="s">
        <v>60</v>
      </c>
      <c r="B135" t="s">
        <v>965</v>
      </c>
      <c r="C135" t="s">
        <v>966</v>
      </c>
      <c r="D135" s="117">
        <v>0</v>
      </c>
      <c r="E135" s="109">
        <v>474</v>
      </c>
      <c r="F135" s="109">
        <v>103</v>
      </c>
      <c r="G135" s="117">
        <v>0.17850953206239167</v>
      </c>
      <c r="H135" s="109">
        <v>365</v>
      </c>
      <c r="I135" s="109">
        <v>133</v>
      </c>
      <c r="J135" s="117">
        <v>0.24767225325884543</v>
      </c>
      <c r="K135" s="117">
        <v>0.11974542438413552</v>
      </c>
      <c r="L135" s="109">
        <v>540</v>
      </c>
      <c r="M135" s="109">
        <v>540</v>
      </c>
      <c r="N135" s="109">
        <v>522</v>
      </c>
      <c r="O135" s="109">
        <v>340</v>
      </c>
      <c r="P135" s="109">
        <v>134</v>
      </c>
      <c r="Q135" s="109">
        <v>48</v>
      </c>
      <c r="R135" s="109">
        <v>15</v>
      </c>
      <c r="S135" s="109">
        <v>2</v>
      </c>
      <c r="T135" s="109">
        <v>10</v>
      </c>
      <c r="U135" s="109">
        <v>3</v>
      </c>
      <c r="V135" s="109">
        <v>3</v>
      </c>
      <c r="W135" s="109">
        <v>0</v>
      </c>
      <c r="Y135" s="24">
        <f>(S135+T135)*'space heating'!$C$20</f>
        <v>3</v>
      </c>
      <c r="Z135" s="24">
        <f t="shared" si="71"/>
        <v>84.208566108007446</v>
      </c>
      <c r="AA135" s="24">
        <f t="shared" si="72"/>
        <v>33.188081936685286</v>
      </c>
      <c r="AB135" s="24">
        <f t="shared" si="73"/>
        <v>11.88826815642458</v>
      </c>
      <c r="AC135" s="24">
        <f>(Z135+AA135)*'space heating'!$C$22</f>
        <v>117.39664804469274</v>
      </c>
      <c r="AD135" s="24">
        <f>AB135*'space heating'!$C$23</f>
        <v>11.88826815642458</v>
      </c>
      <c r="AE135" s="24">
        <f>(O135+P135-Z135-AA135)*'space heating'!$C$24</f>
        <v>133.72625698324021</v>
      </c>
      <c r="AF135" s="24">
        <f>(O135+P135-Z135-AA135)*'space heating'!$C$25</f>
        <v>133.72625698324021</v>
      </c>
      <c r="AG135" s="24">
        <f>(Q135-AB135)*'space heating'!$C$26</f>
        <v>18.05586592178771</v>
      </c>
      <c r="AH135" s="24">
        <f t="shared" si="74"/>
        <v>251.12290502793294</v>
      </c>
      <c r="AI135" s="24">
        <f t="shared" si="75"/>
        <v>166.67039106145248</v>
      </c>
      <c r="AJ135" s="24">
        <f t="shared" si="65"/>
        <v>0</v>
      </c>
      <c r="AK135" s="24">
        <f t="shared" si="66"/>
        <v>0</v>
      </c>
      <c r="AL135" s="24">
        <f t="shared" si="76"/>
        <v>0</v>
      </c>
      <c r="AM135" s="24">
        <f t="shared" si="77"/>
        <v>0</v>
      </c>
      <c r="AN135" s="24">
        <f t="shared" si="67"/>
        <v>0</v>
      </c>
      <c r="AO135" s="24">
        <f t="shared" si="68"/>
        <v>0</v>
      </c>
      <c r="AP135" s="24">
        <f t="shared" si="69"/>
        <v>0</v>
      </c>
      <c r="AQ135" s="24">
        <f t="shared" si="70"/>
        <v>0</v>
      </c>
    </row>
    <row r="136" spans="1:43">
      <c r="A136" t="s">
        <v>61</v>
      </c>
      <c r="B136" t="s">
        <v>967</v>
      </c>
      <c r="C136" t="s">
        <v>968</v>
      </c>
      <c r="D136" s="117">
        <v>0</v>
      </c>
      <c r="E136" s="109">
        <v>507</v>
      </c>
      <c r="F136" s="109">
        <v>191</v>
      </c>
      <c r="G136" s="117">
        <v>0.27363896848137537</v>
      </c>
      <c r="H136" s="109">
        <v>51</v>
      </c>
      <c r="I136" s="109">
        <v>583</v>
      </c>
      <c r="J136" s="117">
        <v>0.94489465153970831</v>
      </c>
      <c r="K136" s="117">
        <v>-1.7960554118504835E-2</v>
      </c>
      <c r="L136" s="109">
        <v>706</v>
      </c>
      <c r="M136" s="109">
        <v>706</v>
      </c>
      <c r="N136" s="109">
        <v>667</v>
      </c>
      <c r="O136" s="109">
        <v>457</v>
      </c>
      <c r="P136" s="109">
        <v>177</v>
      </c>
      <c r="Q136" s="109">
        <v>33</v>
      </c>
      <c r="R136" s="109">
        <v>8</v>
      </c>
      <c r="S136" s="109">
        <v>1</v>
      </c>
      <c r="T136" s="109">
        <v>4</v>
      </c>
      <c r="U136" s="109">
        <v>3</v>
      </c>
      <c r="V136" s="109">
        <v>31</v>
      </c>
      <c r="W136" s="109">
        <v>0</v>
      </c>
      <c r="Y136" s="24">
        <f>(S136+T136)*'space heating'!$C$20</f>
        <v>1.25</v>
      </c>
      <c r="Z136" s="24">
        <f t="shared" si="71"/>
        <v>431.81685575364668</v>
      </c>
      <c r="AA136" s="24">
        <f t="shared" si="72"/>
        <v>167.24635332252836</v>
      </c>
      <c r="AB136" s="24">
        <f t="shared" si="73"/>
        <v>31.181523500810375</v>
      </c>
      <c r="AC136" s="24">
        <f>(Z136+AA136)*'space heating'!$C$22</f>
        <v>599.0632090761751</v>
      </c>
      <c r="AD136" s="24">
        <f>AB136*'space heating'!$C$23</f>
        <v>31.181523500810375</v>
      </c>
      <c r="AE136" s="24">
        <f>(O136+P136-Z136-AA136)*'space heating'!$C$24</f>
        <v>13.101296596434359</v>
      </c>
      <c r="AF136" s="24">
        <f>(O136+P136-Z136-AA136)*'space heating'!$C$25</f>
        <v>13.101296596434359</v>
      </c>
      <c r="AG136" s="24">
        <f>(Q136-AB136)*'space heating'!$C$26</f>
        <v>0.90923824959481259</v>
      </c>
      <c r="AH136" s="24">
        <f t="shared" si="74"/>
        <v>612.16450567260949</v>
      </c>
      <c r="AI136" s="24">
        <f t="shared" si="75"/>
        <v>46.442058346839545</v>
      </c>
      <c r="AJ136" s="24">
        <f t="shared" si="65"/>
        <v>0</v>
      </c>
      <c r="AK136" s="24">
        <f t="shared" si="66"/>
        <v>0</v>
      </c>
      <c r="AL136" s="24">
        <f t="shared" si="76"/>
        <v>612.16450567260949</v>
      </c>
      <c r="AM136" s="24">
        <f t="shared" si="77"/>
        <v>46.442058346839545</v>
      </c>
      <c r="AN136" s="24">
        <f t="shared" si="67"/>
        <v>0</v>
      </c>
      <c r="AO136" s="24">
        <f t="shared" si="68"/>
        <v>0</v>
      </c>
      <c r="AP136" s="24">
        <f t="shared" si="69"/>
        <v>0</v>
      </c>
      <c r="AQ136" s="24">
        <f t="shared" si="70"/>
        <v>0</v>
      </c>
    </row>
    <row r="137" spans="1:43">
      <c r="A137" t="s">
        <v>61</v>
      </c>
      <c r="B137" t="s">
        <v>969</v>
      </c>
      <c r="C137" t="s">
        <v>970</v>
      </c>
      <c r="D137" s="117">
        <v>0</v>
      </c>
      <c r="E137" s="109">
        <v>697</v>
      </c>
      <c r="F137" s="109">
        <v>300</v>
      </c>
      <c r="G137" s="117">
        <v>0.30090270812437314</v>
      </c>
      <c r="H137" s="109" t="e">
        <v>#N/A</v>
      </c>
      <c r="I137" s="109">
        <v>718</v>
      </c>
      <c r="J137" s="117">
        <v>0.97687074829931975</v>
      </c>
      <c r="K137" s="117" t="e">
        <v>#N/A</v>
      </c>
      <c r="L137" s="109">
        <v>905</v>
      </c>
      <c r="M137" s="109">
        <v>905</v>
      </c>
      <c r="N137" s="109">
        <v>845</v>
      </c>
      <c r="O137" s="109">
        <v>335</v>
      </c>
      <c r="P137" s="109">
        <v>257</v>
      </c>
      <c r="Q137" s="109">
        <v>253</v>
      </c>
      <c r="R137" s="109">
        <v>59</v>
      </c>
      <c r="S137" s="109">
        <v>45</v>
      </c>
      <c r="T137" s="109">
        <v>3</v>
      </c>
      <c r="U137" s="109">
        <v>11</v>
      </c>
      <c r="V137" s="109">
        <v>1</v>
      </c>
      <c r="W137" s="109">
        <v>0</v>
      </c>
      <c r="Y137" s="24">
        <f>(S137+T137)*'space heating'!$C$20</f>
        <v>12</v>
      </c>
      <c r="Z137" s="24">
        <f t="shared" si="71"/>
        <v>327.25170068027211</v>
      </c>
      <c r="AA137" s="24">
        <f t="shared" si="72"/>
        <v>251.05578231292517</v>
      </c>
      <c r="AB137" s="24">
        <f t="shared" si="73"/>
        <v>247.1482993197279</v>
      </c>
      <c r="AC137" s="24">
        <f>(Z137+AA137)*'space heating'!$C$22</f>
        <v>578.30748299319725</v>
      </c>
      <c r="AD137" s="24">
        <f>AB137*'space heating'!$C$23</f>
        <v>247.1482993197279</v>
      </c>
      <c r="AE137" s="24">
        <f>(O137+P137-Z137-AA137)*'space heating'!$C$24</f>
        <v>5.1346938775510189</v>
      </c>
      <c r="AF137" s="24">
        <f>(O137+P137-Z137-AA137)*'space heating'!$C$25</f>
        <v>5.1346938775510189</v>
      </c>
      <c r="AG137" s="24">
        <f>(Q137-AB137)*'space heating'!$C$26</f>
        <v>2.9258503401360514</v>
      </c>
      <c r="AH137" s="24">
        <f t="shared" si="74"/>
        <v>583.44217687074831</v>
      </c>
      <c r="AI137" s="24">
        <f t="shared" si="75"/>
        <v>267.20884353741496</v>
      </c>
      <c r="AJ137" s="24">
        <f t="shared" si="65"/>
        <v>0</v>
      </c>
      <c r="AK137" s="24">
        <f t="shared" si="66"/>
        <v>0</v>
      </c>
      <c r="AL137" s="24">
        <f t="shared" si="76"/>
        <v>583.44217687074831</v>
      </c>
      <c r="AM137" s="24">
        <f t="shared" si="77"/>
        <v>267.20884353741496</v>
      </c>
      <c r="AN137" s="24">
        <f t="shared" si="67"/>
        <v>0</v>
      </c>
      <c r="AO137" s="24">
        <f t="shared" si="68"/>
        <v>0</v>
      </c>
      <c r="AP137" s="24">
        <f t="shared" si="69"/>
        <v>0</v>
      </c>
      <c r="AQ137" s="24">
        <f t="shared" si="70"/>
        <v>0</v>
      </c>
    </row>
    <row r="138" spans="1:43">
      <c r="A138" t="s">
        <v>61</v>
      </c>
      <c r="B138" t="s">
        <v>971</v>
      </c>
      <c r="C138" t="s">
        <v>972</v>
      </c>
      <c r="D138" s="117">
        <v>0</v>
      </c>
      <c r="E138" s="109">
        <v>613</v>
      </c>
      <c r="F138" s="109">
        <v>169</v>
      </c>
      <c r="G138" s="117">
        <v>0.21611253196930946</v>
      </c>
      <c r="H138" s="109">
        <v>77</v>
      </c>
      <c r="I138" s="109">
        <v>602</v>
      </c>
      <c r="J138" s="117">
        <v>0.94209702660406891</v>
      </c>
      <c r="K138" s="117">
        <v>-4.0562499749848935E-2</v>
      </c>
      <c r="L138" s="109">
        <v>798</v>
      </c>
      <c r="M138" s="109">
        <v>798</v>
      </c>
      <c r="N138" s="109">
        <v>775</v>
      </c>
      <c r="O138" s="109">
        <v>541</v>
      </c>
      <c r="P138" s="109">
        <v>165</v>
      </c>
      <c r="Q138" s="109">
        <v>69</v>
      </c>
      <c r="R138" s="109">
        <v>15</v>
      </c>
      <c r="S138" s="109">
        <v>3</v>
      </c>
      <c r="T138" s="109">
        <v>7</v>
      </c>
      <c r="U138" s="109">
        <v>5</v>
      </c>
      <c r="V138" s="109">
        <v>8</v>
      </c>
      <c r="W138" s="109">
        <v>0</v>
      </c>
      <c r="Y138" s="24">
        <f>(S138+T138)*'space heating'!$C$20</f>
        <v>2.5</v>
      </c>
      <c r="Z138" s="24">
        <f t="shared" si="71"/>
        <v>509.67449139280126</v>
      </c>
      <c r="AA138" s="24">
        <f t="shared" si="72"/>
        <v>155.44600938967136</v>
      </c>
      <c r="AB138" s="24">
        <f t="shared" si="73"/>
        <v>65.004694835680752</v>
      </c>
      <c r="AC138" s="24">
        <f>(Z138+AA138)*'space heating'!$C$22</f>
        <v>665.12050078247262</v>
      </c>
      <c r="AD138" s="24">
        <f>AB138*'space heating'!$C$23</f>
        <v>65.004694835680752</v>
      </c>
      <c r="AE138" s="24">
        <f>(O138+P138-Z138-AA138)*'space heating'!$C$24</f>
        <v>15.329812206572768</v>
      </c>
      <c r="AF138" s="24">
        <f>(O138+P138-Z138-AA138)*'space heating'!$C$25</f>
        <v>15.329812206572768</v>
      </c>
      <c r="AG138" s="24">
        <f>(Q138-AB138)*'space heating'!$C$26</f>
        <v>1.997652582159624</v>
      </c>
      <c r="AH138" s="24">
        <f t="shared" si="74"/>
        <v>680.45031298904541</v>
      </c>
      <c r="AI138" s="24">
        <f t="shared" si="75"/>
        <v>84.832159624413151</v>
      </c>
      <c r="AJ138" s="24">
        <f t="shared" si="65"/>
        <v>0</v>
      </c>
      <c r="AK138" s="24">
        <f t="shared" si="66"/>
        <v>0</v>
      </c>
      <c r="AL138" s="24">
        <f t="shared" si="76"/>
        <v>680.45031298904541</v>
      </c>
      <c r="AM138" s="24">
        <f t="shared" si="77"/>
        <v>84.832159624413151</v>
      </c>
      <c r="AN138" s="24">
        <f t="shared" si="67"/>
        <v>0</v>
      </c>
      <c r="AO138" s="24">
        <f t="shared" si="68"/>
        <v>0</v>
      </c>
      <c r="AP138" s="24">
        <f t="shared" si="69"/>
        <v>0</v>
      </c>
      <c r="AQ138" s="24">
        <f t="shared" si="70"/>
        <v>0</v>
      </c>
    </row>
    <row r="139" spans="1:43">
      <c r="A139" t="s">
        <v>61</v>
      </c>
      <c r="B139" t="s">
        <v>973</v>
      </c>
      <c r="C139" t="s">
        <v>974</v>
      </c>
      <c r="D139" s="117">
        <v>0</v>
      </c>
      <c r="E139" s="109">
        <v>754</v>
      </c>
      <c r="F139" s="109">
        <v>142</v>
      </c>
      <c r="G139" s="117">
        <v>0.15848214285714285</v>
      </c>
      <c r="H139" s="109">
        <v>621</v>
      </c>
      <c r="I139" s="109">
        <v>191</v>
      </c>
      <c r="J139" s="117">
        <v>0.25032765399737877</v>
      </c>
      <c r="K139" s="117">
        <v>5.6591988859764131E-2</v>
      </c>
      <c r="L139" s="109">
        <v>863</v>
      </c>
      <c r="M139" s="109">
        <v>859</v>
      </c>
      <c r="N139" s="109">
        <v>810</v>
      </c>
      <c r="O139" s="109">
        <v>352</v>
      </c>
      <c r="P139" s="109">
        <v>223</v>
      </c>
      <c r="Q139" s="109">
        <v>235</v>
      </c>
      <c r="R139" s="109">
        <v>48</v>
      </c>
      <c r="S139" s="109">
        <v>19</v>
      </c>
      <c r="T139" s="109">
        <v>16</v>
      </c>
      <c r="U139" s="109">
        <v>13</v>
      </c>
      <c r="V139" s="109">
        <v>1</v>
      </c>
      <c r="W139" s="109">
        <v>4</v>
      </c>
      <c r="Y139" s="24">
        <f>(S139+T139)*'space heating'!$C$20</f>
        <v>8.75</v>
      </c>
      <c r="Z139" s="24">
        <f t="shared" si="71"/>
        <v>88.115334207077325</v>
      </c>
      <c r="AA139" s="24">
        <f t="shared" si="72"/>
        <v>55.823066841415468</v>
      </c>
      <c r="AB139" s="24">
        <f t="shared" si="73"/>
        <v>58.826998689384013</v>
      </c>
      <c r="AC139" s="24">
        <f>(Z139+AA139)*'space heating'!$C$22</f>
        <v>143.93840104849278</v>
      </c>
      <c r="AD139" s="24">
        <f>AB139*'space heating'!$C$23</f>
        <v>58.826998689384013</v>
      </c>
      <c r="AE139" s="24">
        <f>(O139+P139-Z139-AA139)*'space heating'!$C$24</f>
        <v>161.64809960681518</v>
      </c>
      <c r="AF139" s="24">
        <f>(O139+P139-Z139-AA139)*'space heating'!$C$25</f>
        <v>161.64809960681518</v>
      </c>
      <c r="AG139" s="24">
        <f>(Q139-AB139)*'space heating'!$C$26</f>
        <v>88.086500655307987</v>
      </c>
      <c r="AH139" s="24">
        <f t="shared" si="74"/>
        <v>305.58650065530799</v>
      </c>
      <c r="AI139" s="24">
        <f t="shared" si="75"/>
        <v>317.31159895150716</v>
      </c>
      <c r="AJ139" s="24">
        <f t="shared" si="65"/>
        <v>0</v>
      </c>
      <c r="AK139" s="24">
        <f t="shared" si="66"/>
        <v>0</v>
      </c>
      <c r="AL139" s="24">
        <f t="shared" si="76"/>
        <v>305.58650065530799</v>
      </c>
      <c r="AM139" s="24">
        <f t="shared" si="77"/>
        <v>317.31159895150716</v>
      </c>
      <c r="AN139" s="24">
        <f t="shared" si="67"/>
        <v>0</v>
      </c>
      <c r="AO139" s="24">
        <f t="shared" si="68"/>
        <v>0</v>
      </c>
      <c r="AP139" s="24">
        <f t="shared" si="69"/>
        <v>0</v>
      </c>
      <c r="AQ139" s="24">
        <f t="shared" si="70"/>
        <v>0</v>
      </c>
    </row>
    <row r="140" spans="1:43">
      <c r="A140" t="s">
        <v>61</v>
      </c>
      <c r="B140" t="s">
        <v>975</v>
      </c>
      <c r="C140" t="s">
        <v>976</v>
      </c>
      <c r="D140" s="117">
        <v>0</v>
      </c>
      <c r="E140" s="109">
        <v>854</v>
      </c>
      <c r="F140" s="109">
        <v>79</v>
      </c>
      <c r="G140" s="117">
        <v>8.4673097534833874E-2</v>
      </c>
      <c r="H140" s="109">
        <v>858</v>
      </c>
      <c r="I140" s="109">
        <v>75</v>
      </c>
      <c r="J140" s="117">
        <v>8.6107921928817457E-2</v>
      </c>
      <c r="K140" s="117">
        <v>-5.7220698387853292E-3</v>
      </c>
      <c r="L140" s="109">
        <v>807</v>
      </c>
      <c r="M140" s="109">
        <v>807</v>
      </c>
      <c r="N140" s="109">
        <v>743</v>
      </c>
      <c r="O140" s="109">
        <v>310</v>
      </c>
      <c r="P140" s="109">
        <v>267</v>
      </c>
      <c r="Q140" s="109">
        <v>166</v>
      </c>
      <c r="R140" s="109">
        <v>64</v>
      </c>
      <c r="S140" s="109">
        <v>58</v>
      </c>
      <c r="T140" s="109">
        <v>4</v>
      </c>
      <c r="U140" s="109">
        <v>2</v>
      </c>
      <c r="V140" s="109">
        <v>0</v>
      </c>
      <c r="W140" s="109">
        <v>0</v>
      </c>
      <c r="Y140" s="24">
        <f>(S140+T140)*'space heating'!$C$20</f>
        <v>15.5</v>
      </c>
      <c r="Z140" s="24">
        <f t="shared" si="71"/>
        <v>26.69345579793341</v>
      </c>
      <c r="AA140" s="24">
        <f t="shared" si="72"/>
        <v>22.990815154994262</v>
      </c>
      <c r="AB140" s="24">
        <f t="shared" si="73"/>
        <v>14.293915040183698</v>
      </c>
      <c r="AC140" s="24">
        <f>(Z140+AA140)*'space heating'!$C$22</f>
        <v>49.684270952927676</v>
      </c>
      <c r="AD140" s="24">
        <f>AB140*'space heating'!$C$23</f>
        <v>14.293915040183698</v>
      </c>
      <c r="AE140" s="24">
        <f>(O140+P140-Z140-AA140)*'space heating'!$C$24</f>
        <v>197.74339839265213</v>
      </c>
      <c r="AF140" s="24">
        <f>(O140+P140-Z140-AA140)*'space heating'!$C$25</f>
        <v>197.74339839265213</v>
      </c>
      <c r="AG140" s="24">
        <f>(Q140-AB140)*'space heating'!$C$26</f>
        <v>75.853042479908154</v>
      </c>
      <c r="AH140" s="24">
        <f t="shared" si="74"/>
        <v>247.4276693455798</v>
      </c>
      <c r="AI140" s="24">
        <f t="shared" si="75"/>
        <v>303.39035591274398</v>
      </c>
      <c r="AJ140" s="24">
        <f>IF($A140="South hams",AH140,0)</f>
        <v>0</v>
      </c>
      <c r="AK140" s="24">
        <f>IF($A140="South hams",AI140,0)</f>
        <v>0</v>
      </c>
      <c r="AL140" s="24">
        <f t="shared" si="76"/>
        <v>247.4276693455798</v>
      </c>
      <c r="AM140" s="24">
        <f t="shared" si="77"/>
        <v>303.39035591274398</v>
      </c>
      <c r="AN140" s="24">
        <f>AH140*$D140</f>
        <v>0</v>
      </c>
      <c r="AO140" s="24">
        <f>AI140*$D140</f>
        <v>0</v>
      </c>
      <c r="AP140" s="24">
        <f>IF(AND($A140="teignbridge",$D140&gt;0),AN140,0)</f>
        <v>0</v>
      </c>
      <c r="AQ140" s="24">
        <f>IF(AND($A140="teignbridge",$D140&gt;0),AO140,0)</f>
        <v>0</v>
      </c>
    </row>
    <row r="141" spans="1:43">
      <c r="A141" t="s">
        <v>61</v>
      </c>
      <c r="B141" t="s">
        <v>977</v>
      </c>
      <c r="C141" t="s">
        <v>978</v>
      </c>
      <c r="D141" s="117">
        <v>0</v>
      </c>
      <c r="E141" s="109">
        <v>857</v>
      </c>
      <c r="F141" s="109">
        <v>132</v>
      </c>
      <c r="G141" s="117">
        <v>0.13346814964610718</v>
      </c>
      <c r="H141" s="109">
        <v>840</v>
      </c>
      <c r="I141" s="109">
        <v>0</v>
      </c>
      <c r="J141" s="117">
        <v>0</v>
      </c>
      <c r="K141" s="117">
        <v>0.15065722952477245</v>
      </c>
      <c r="L141" s="109">
        <v>934</v>
      </c>
      <c r="M141" s="109">
        <v>934</v>
      </c>
      <c r="N141" s="109">
        <v>834</v>
      </c>
      <c r="O141" s="109">
        <v>151</v>
      </c>
      <c r="P141" s="109">
        <v>271</v>
      </c>
      <c r="Q141" s="109">
        <v>412</v>
      </c>
      <c r="R141" s="109">
        <v>100</v>
      </c>
      <c r="S141" s="109">
        <v>64</v>
      </c>
      <c r="T141" s="109">
        <v>24</v>
      </c>
      <c r="U141" s="109">
        <v>12</v>
      </c>
      <c r="V141" s="109">
        <v>0</v>
      </c>
      <c r="W141" s="109">
        <v>0</v>
      </c>
      <c r="Y141" s="24">
        <f>(S141+T141)*'space heating'!$C$20</f>
        <v>22</v>
      </c>
      <c r="Z141" s="24">
        <f t="shared" si="71"/>
        <v>0</v>
      </c>
      <c r="AA141" s="24">
        <f t="shared" si="72"/>
        <v>0</v>
      </c>
      <c r="AB141" s="24">
        <f t="shared" si="73"/>
        <v>0</v>
      </c>
      <c r="AC141" s="24">
        <f>(Z141+AA141)*'space heating'!$C$22</f>
        <v>0</v>
      </c>
      <c r="AD141" s="24">
        <f>AB141*'space heating'!$C$23</f>
        <v>0</v>
      </c>
      <c r="AE141" s="24">
        <f>(O141+P141-Z141-AA141)*'space heating'!$C$24</f>
        <v>158.25</v>
      </c>
      <c r="AF141" s="24">
        <f>(O141+P141-Z141-AA141)*'space heating'!$C$25</f>
        <v>158.25</v>
      </c>
      <c r="AG141" s="24">
        <f>(Q141-AB141)*'space heating'!$C$26</f>
        <v>206</v>
      </c>
      <c r="AH141" s="24">
        <f t="shared" si="74"/>
        <v>158.25</v>
      </c>
      <c r="AI141" s="24">
        <f t="shared" si="75"/>
        <v>386.25</v>
      </c>
      <c r="AJ141" s="24">
        <f t="shared" ref="AJ141:AJ149" si="78">IF($A141="South hams",AH141,0)</f>
        <v>0</v>
      </c>
      <c r="AK141" s="24">
        <f t="shared" ref="AK141:AK149" si="79">IF($A141="South hams",AI141,0)</f>
        <v>0</v>
      </c>
      <c r="AL141" s="24">
        <f t="shared" si="76"/>
        <v>158.25</v>
      </c>
      <c r="AM141" s="24">
        <f t="shared" si="77"/>
        <v>386.25</v>
      </c>
      <c r="AN141" s="24">
        <f t="shared" ref="AN141:AN149" si="80">AH141*$D141</f>
        <v>0</v>
      </c>
      <c r="AO141" s="24">
        <f t="shared" ref="AO141:AO149" si="81">AI141*$D141</f>
        <v>0</v>
      </c>
      <c r="AP141" s="24">
        <f t="shared" ref="AP141:AP149" si="82">IF(AND($A141="teignbridge",$D141&gt;0),AN141,0)</f>
        <v>0</v>
      </c>
      <c r="AQ141" s="24">
        <f t="shared" ref="AQ141:AQ149" si="83">IF(AND($A141="teignbridge",$D141&gt;0),AO141,0)</f>
        <v>0</v>
      </c>
    </row>
    <row r="142" spans="1:43">
      <c r="A142" t="s">
        <v>61</v>
      </c>
      <c r="B142" t="s">
        <v>979</v>
      </c>
      <c r="C142" t="s">
        <v>980</v>
      </c>
      <c r="D142" s="117">
        <v>0.31034482758620691</v>
      </c>
      <c r="E142" s="109">
        <v>597</v>
      </c>
      <c r="F142" s="109">
        <v>166</v>
      </c>
      <c r="G142" s="117">
        <v>0.21756225425950196</v>
      </c>
      <c r="H142" s="109">
        <v>402</v>
      </c>
      <c r="I142" s="109">
        <v>302</v>
      </c>
      <c r="J142" s="117">
        <v>0.4241573033707865</v>
      </c>
      <c r="K142" s="117">
        <v>4.8975068844154479E-2</v>
      </c>
      <c r="L142" s="109">
        <v>671</v>
      </c>
      <c r="M142" s="109">
        <v>668</v>
      </c>
      <c r="N142" s="109">
        <v>573</v>
      </c>
      <c r="O142" s="109">
        <v>338</v>
      </c>
      <c r="P142" s="109">
        <v>109</v>
      </c>
      <c r="Q142" s="109">
        <v>126</v>
      </c>
      <c r="R142" s="109">
        <v>95</v>
      </c>
      <c r="S142" s="109">
        <v>59</v>
      </c>
      <c r="T142" s="109">
        <v>35</v>
      </c>
      <c r="U142" s="109">
        <v>1</v>
      </c>
      <c r="V142" s="109">
        <v>0</v>
      </c>
      <c r="W142" s="109">
        <v>3</v>
      </c>
      <c r="Y142" s="24">
        <f>(S142+T142)*'space heating'!$C$20</f>
        <v>23.5</v>
      </c>
      <c r="Z142" s="24">
        <f t="shared" si="71"/>
        <v>143.36516853932585</v>
      </c>
      <c r="AA142" s="24">
        <f t="shared" si="72"/>
        <v>46.233146067415731</v>
      </c>
      <c r="AB142" s="24">
        <f t="shared" si="73"/>
        <v>53.443820224719097</v>
      </c>
      <c r="AC142" s="24">
        <f>(Z142+AA142)*'space heating'!$C$22</f>
        <v>189.59831460674158</v>
      </c>
      <c r="AD142" s="24">
        <f>AB142*'space heating'!$C$23</f>
        <v>53.443820224719097</v>
      </c>
      <c r="AE142" s="24">
        <f>(O142+P142-Z142-AA142)*'space heating'!$C$24</f>
        <v>96.525632022471896</v>
      </c>
      <c r="AF142" s="24">
        <f>(O142+P142-Z142-AA142)*'space heating'!$C$25</f>
        <v>96.525632022471896</v>
      </c>
      <c r="AG142" s="24">
        <f>(Q142-AB142)*'space heating'!$C$26</f>
        <v>36.278089887640448</v>
      </c>
      <c r="AH142" s="24">
        <f t="shared" si="74"/>
        <v>286.12394662921349</v>
      </c>
      <c r="AI142" s="24">
        <f t="shared" si="75"/>
        <v>209.74754213483143</v>
      </c>
      <c r="AJ142" s="24">
        <f t="shared" si="78"/>
        <v>0</v>
      </c>
      <c r="AK142" s="24">
        <f t="shared" si="79"/>
        <v>0</v>
      </c>
      <c r="AL142" s="24">
        <f t="shared" si="76"/>
        <v>286.12394662921349</v>
      </c>
      <c r="AM142" s="24">
        <f t="shared" si="77"/>
        <v>209.74754213483143</v>
      </c>
      <c r="AN142" s="24">
        <f t="shared" si="80"/>
        <v>88.797086884928333</v>
      </c>
      <c r="AO142" s="24">
        <f t="shared" si="81"/>
        <v>65.094064800464935</v>
      </c>
      <c r="AP142" s="24">
        <f t="shared" si="82"/>
        <v>0</v>
      </c>
      <c r="AQ142" s="24">
        <f t="shared" si="83"/>
        <v>0</v>
      </c>
    </row>
    <row r="143" spans="1:43">
      <c r="A143" t="s">
        <v>61</v>
      </c>
      <c r="B143" t="s">
        <v>981</v>
      </c>
      <c r="C143" t="s">
        <v>982</v>
      </c>
      <c r="D143" s="117">
        <v>0</v>
      </c>
      <c r="E143" s="109">
        <v>610</v>
      </c>
      <c r="F143" s="109">
        <v>317</v>
      </c>
      <c r="G143" s="117">
        <v>0.34196332254584683</v>
      </c>
      <c r="H143" s="109">
        <v>569</v>
      </c>
      <c r="I143" s="109">
        <v>130</v>
      </c>
      <c r="J143" s="117">
        <v>0.15348288075560804</v>
      </c>
      <c r="K143" s="117">
        <v>0.23270913650437039</v>
      </c>
      <c r="L143" s="109">
        <v>830</v>
      </c>
      <c r="M143" s="109">
        <v>830</v>
      </c>
      <c r="N143" s="109">
        <v>545</v>
      </c>
      <c r="O143" s="109">
        <v>165</v>
      </c>
      <c r="P143" s="109">
        <v>172</v>
      </c>
      <c r="Q143" s="109">
        <v>208</v>
      </c>
      <c r="R143" s="109">
        <v>260</v>
      </c>
      <c r="S143" s="109">
        <v>167</v>
      </c>
      <c r="T143" s="109">
        <v>50</v>
      </c>
      <c r="U143" s="109">
        <v>43</v>
      </c>
      <c r="V143" s="109">
        <v>25</v>
      </c>
      <c r="W143" s="109">
        <v>0</v>
      </c>
      <c r="Y143" s="24">
        <f>(S143+T143)*'space heating'!$C$20</f>
        <v>54.25</v>
      </c>
      <c r="Z143" s="24">
        <f t="shared" si="71"/>
        <v>25.324675324675326</v>
      </c>
      <c r="AA143" s="24">
        <f t="shared" si="72"/>
        <v>26.399055489964582</v>
      </c>
      <c r="AB143" s="24">
        <f t="shared" si="73"/>
        <v>31.924439197166471</v>
      </c>
      <c r="AC143" s="24">
        <f>(Z143+AA143)*'space heating'!$C$22</f>
        <v>51.723730814639907</v>
      </c>
      <c r="AD143" s="24">
        <f>AB143*'space heating'!$C$23</f>
        <v>31.924439197166471</v>
      </c>
      <c r="AE143" s="24">
        <f>(O143+P143-Z143-AA143)*'space heating'!$C$24</f>
        <v>106.97860094451003</v>
      </c>
      <c r="AF143" s="24">
        <f>(O143+P143-Z143-AA143)*'space heating'!$C$25</f>
        <v>106.97860094451003</v>
      </c>
      <c r="AG143" s="24">
        <f>(Q143-AB143)*'space heating'!$C$26</f>
        <v>88.037780401416768</v>
      </c>
      <c r="AH143" s="24">
        <f t="shared" si="74"/>
        <v>158.70233175914996</v>
      </c>
      <c r="AI143" s="24">
        <f t="shared" si="75"/>
        <v>281.19082054309331</v>
      </c>
      <c r="AJ143" s="24">
        <f t="shared" si="78"/>
        <v>0</v>
      </c>
      <c r="AK143" s="24">
        <f t="shared" si="79"/>
        <v>0</v>
      </c>
      <c r="AL143" s="24">
        <f t="shared" si="76"/>
        <v>158.70233175914996</v>
      </c>
      <c r="AM143" s="24">
        <f t="shared" si="77"/>
        <v>281.19082054309331</v>
      </c>
      <c r="AN143" s="24">
        <f t="shared" si="80"/>
        <v>0</v>
      </c>
      <c r="AO143" s="24">
        <f t="shared" si="81"/>
        <v>0</v>
      </c>
      <c r="AP143" s="24">
        <f t="shared" si="82"/>
        <v>0</v>
      </c>
      <c r="AQ143" s="24">
        <f t="shared" si="83"/>
        <v>0</v>
      </c>
    </row>
    <row r="144" spans="1:43">
      <c r="A144" t="s">
        <v>61</v>
      </c>
      <c r="B144" t="s">
        <v>983</v>
      </c>
      <c r="C144" t="s">
        <v>984</v>
      </c>
      <c r="D144" s="117">
        <v>1</v>
      </c>
      <c r="E144" s="109">
        <v>648</v>
      </c>
      <c r="F144" s="109">
        <v>148</v>
      </c>
      <c r="G144" s="117">
        <v>0.18592964824120603</v>
      </c>
      <c r="H144" s="109">
        <v>542</v>
      </c>
      <c r="I144" s="109">
        <v>186</v>
      </c>
      <c r="J144" s="117">
        <v>0.24570673712021135</v>
      </c>
      <c r="K144" s="117">
        <v>7.3388740266723318E-2</v>
      </c>
      <c r="L144" s="109">
        <v>685</v>
      </c>
      <c r="M144" s="109">
        <v>685</v>
      </c>
      <c r="N144" s="109">
        <v>615</v>
      </c>
      <c r="O144" s="109">
        <v>288</v>
      </c>
      <c r="P144" s="109">
        <v>169</v>
      </c>
      <c r="Q144" s="109">
        <v>158</v>
      </c>
      <c r="R144" s="109">
        <v>70</v>
      </c>
      <c r="S144" s="109">
        <v>17</v>
      </c>
      <c r="T144" s="109">
        <v>36</v>
      </c>
      <c r="U144" s="109">
        <v>17</v>
      </c>
      <c r="V144" s="109">
        <v>0</v>
      </c>
      <c r="W144" s="109">
        <v>0</v>
      </c>
      <c r="Y144" s="24">
        <f>(S144+T144)*'space heating'!$C$20</f>
        <v>13.25</v>
      </c>
      <c r="Z144" s="24">
        <f t="shared" si="71"/>
        <v>70.763540290620867</v>
      </c>
      <c r="AA144" s="24">
        <f t="shared" si="72"/>
        <v>41.52443857331572</v>
      </c>
      <c r="AB144" s="24">
        <f t="shared" si="73"/>
        <v>38.82166446499339</v>
      </c>
      <c r="AC144" s="24">
        <f>(Z144+AA144)*'space heating'!$C$22</f>
        <v>112.28797886393659</v>
      </c>
      <c r="AD144" s="24">
        <f>AB144*'space heating'!$C$23</f>
        <v>38.82166446499339</v>
      </c>
      <c r="AE144" s="24">
        <f>(O144+P144-Z144-AA144)*'space heating'!$C$24</f>
        <v>129.26700792602378</v>
      </c>
      <c r="AF144" s="24">
        <f>(O144+P144-Z144-AA144)*'space heating'!$C$25</f>
        <v>129.26700792602378</v>
      </c>
      <c r="AG144" s="24">
        <f>(Q144-AB144)*'space heating'!$C$26</f>
        <v>59.589167767503305</v>
      </c>
      <c r="AH144" s="24">
        <f t="shared" si="74"/>
        <v>241.55498678996037</v>
      </c>
      <c r="AI144" s="24">
        <f t="shared" si="75"/>
        <v>240.92784015852047</v>
      </c>
      <c r="AJ144" s="24">
        <f t="shared" si="78"/>
        <v>0</v>
      </c>
      <c r="AK144" s="24">
        <f t="shared" si="79"/>
        <v>0</v>
      </c>
      <c r="AL144" s="24">
        <f t="shared" si="76"/>
        <v>241.55498678996037</v>
      </c>
      <c r="AM144" s="24">
        <f t="shared" si="77"/>
        <v>240.92784015852047</v>
      </c>
      <c r="AN144" s="24">
        <f t="shared" si="80"/>
        <v>241.55498678996037</v>
      </c>
      <c r="AO144" s="24">
        <f t="shared" si="81"/>
        <v>240.92784015852047</v>
      </c>
      <c r="AP144" s="24">
        <f t="shared" si="82"/>
        <v>0</v>
      </c>
      <c r="AQ144" s="24">
        <f t="shared" si="83"/>
        <v>0</v>
      </c>
    </row>
    <row r="145" spans="1:43">
      <c r="A145" t="s">
        <v>61</v>
      </c>
      <c r="B145" t="s">
        <v>985</v>
      </c>
      <c r="C145" t="s">
        <v>986</v>
      </c>
      <c r="D145" s="117">
        <v>0.69421487603305787</v>
      </c>
      <c r="E145" s="109">
        <v>586</v>
      </c>
      <c r="F145" s="109">
        <v>199</v>
      </c>
      <c r="G145" s="117">
        <v>0.2535031847133758</v>
      </c>
      <c r="H145" s="109">
        <v>76</v>
      </c>
      <c r="I145" s="109">
        <v>535</v>
      </c>
      <c r="J145" s="117">
        <v>0.86569579288025889</v>
      </c>
      <c r="K145" s="117">
        <v>3.7488920495537315E-2</v>
      </c>
      <c r="L145" s="109">
        <v>679</v>
      </c>
      <c r="M145" s="109">
        <v>679</v>
      </c>
      <c r="N145" s="109">
        <v>648</v>
      </c>
      <c r="O145" s="109">
        <v>389</v>
      </c>
      <c r="P145" s="109">
        <v>168</v>
      </c>
      <c r="Q145" s="109">
        <v>91</v>
      </c>
      <c r="R145" s="109">
        <v>26</v>
      </c>
      <c r="S145" s="109">
        <v>4</v>
      </c>
      <c r="T145" s="109">
        <v>16</v>
      </c>
      <c r="U145" s="109">
        <v>6</v>
      </c>
      <c r="V145" s="109">
        <v>5</v>
      </c>
      <c r="W145" s="109">
        <v>0</v>
      </c>
      <c r="Y145" s="24">
        <f>(S145+T145)*'space heating'!$C$20</f>
        <v>5</v>
      </c>
      <c r="Z145" s="24">
        <f t="shared" si="71"/>
        <v>336.75566343042073</v>
      </c>
      <c r="AA145" s="24">
        <f t="shared" si="72"/>
        <v>145.4368932038835</v>
      </c>
      <c r="AB145" s="24">
        <f t="shared" si="73"/>
        <v>78.778317152103554</v>
      </c>
      <c r="AC145" s="24">
        <f>(Z145+AA145)*'space heating'!$C$22</f>
        <v>482.1925566343042</v>
      </c>
      <c r="AD145" s="24">
        <f>AB145*'space heating'!$C$23</f>
        <v>78.778317152103554</v>
      </c>
      <c r="AE145" s="24">
        <f>(O145+P145-Z145-AA145)*'space heating'!$C$24</f>
        <v>28.052791262135916</v>
      </c>
      <c r="AF145" s="24">
        <f>(O145+P145-Z145-AA145)*'space heating'!$C$25</f>
        <v>28.052791262135916</v>
      </c>
      <c r="AG145" s="24">
        <f>(Q145-AB145)*'space heating'!$C$26</f>
        <v>6.1108414239482229</v>
      </c>
      <c r="AH145" s="24">
        <f t="shared" si="74"/>
        <v>510.24534789644014</v>
      </c>
      <c r="AI145" s="24">
        <f t="shared" si="75"/>
        <v>117.9419498381877</v>
      </c>
      <c r="AJ145" s="24">
        <f t="shared" si="78"/>
        <v>0</v>
      </c>
      <c r="AK145" s="24">
        <f t="shared" si="79"/>
        <v>0</v>
      </c>
      <c r="AL145" s="24">
        <f t="shared" si="76"/>
        <v>510.24534789644014</v>
      </c>
      <c r="AM145" s="24">
        <f t="shared" si="77"/>
        <v>117.9419498381877</v>
      </c>
      <c r="AN145" s="24">
        <f t="shared" si="80"/>
        <v>354.21991093637166</v>
      </c>
      <c r="AO145" s="24">
        <f t="shared" si="81"/>
        <v>81.877056086014605</v>
      </c>
      <c r="AP145" s="24">
        <f t="shared" si="82"/>
        <v>0</v>
      </c>
      <c r="AQ145" s="24">
        <f t="shared" si="83"/>
        <v>0</v>
      </c>
    </row>
    <row r="146" spans="1:43">
      <c r="A146" t="s">
        <v>61</v>
      </c>
      <c r="B146" t="s">
        <v>987</v>
      </c>
      <c r="C146" t="s">
        <v>988</v>
      </c>
      <c r="D146" s="117">
        <v>0.97560975609756095</v>
      </c>
      <c r="E146" s="109">
        <v>559</v>
      </c>
      <c r="F146" s="109">
        <v>120</v>
      </c>
      <c r="G146" s="117">
        <v>0.17673048600883653</v>
      </c>
      <c r="H146" s="109">
        <v>228</v>
      </c>
      <c r="I146" s="109">
        <v>569</v>
      </c>
      <c r="J146" s="117">
        <v>0.9436152570480929</v>
      </c>
      <c r="K146" s="117">
        <v>-0.27940318046488222</v>
      </c>
      <c r="L146" s="109">
        <v>642</v>
      </c>
      <c r="M146" s="109">
        <v>642</v>
      </c>
      <c r="N146" s="109">
        <v>614</v>
      </c>
      <c r="O146" s="109">
        <v>262</v>
      </c>
      <c r="P146" s="109">
        <v>202</v>
      </c>
      <c r="Q146" s="109">
        <v>150</v>
      </c>
      <c r="R146" s="109">
        <v>28</v>
      </c>
      <c r="S146" s="109">
        <v>12</v>
      </c>
      <c r="T146" s="109">
        <v>11</v>
      </c>
      <c r="U146" s="109">
        <v>5</v>
      </c>
      <c r="V146" s="109">
        <v>0</v>
      </c>
      <c r="W146" s="109">
        <v>0</v>
      </c>
      <c r="Y146" s="24">
        <f>(S146+T146)*'space heating'!$C$20</f>
        <v>5.75</v>
      </c>
      <c r="Z146" s="24">
        <f t="shared" si="71"/>
        <v>247.22719734660035</v>
      </c>
      <c r="AA146" s="24">
        <f t="shared" si="72"/>
        <v>190.61028192371478</v>
      </c>
      <c r="AB146" s="24">
        <f t="shared" si="73"/>
        <v>141.54228855721394</v>
      </c>
      <c r="AC146" s="24">
        <f>(Z146+AA146)*'space heating'!$C$22</f>
        <v>437.83747927031516</v>
      </c>
      <c r="AD146" s="24">
        <f>AB146*'space heating'!$C$23</f>
        <v>141.54228855721394</v>
      </c>
      <c r="AE146" s="24">
        <f>(O146+P146-Z146-AA146)*'space heating'!$C$24</f>
        <v>9.8109452736318268</v>
      </c>
      <c r="AF146" s="24">
        <f>(O146+P146-Z146-AA146)*'space heating'!$C$25</f>
        <v>9.8109452736318268</v>
      </c>
      <c r="AG146" s="24">
        <f>(Q146-AB146)*'space heating'!$C$26</f>
        <v>4.2288557213930318</v>
      </c>
      <c r="AH146" s="24">
        <f t="shared" si="74"/>
        <v>447.64842454394699</v>
      </c>
      <c r="AI146" s="24">
        <f t="shared" si="75"/>
        <v>161.33208955223881</v>
      </c>
      <c r="AJ146" s="24">
        <f t="shared" si="78"/>
        <v>0</v>
      </c>
      <c r="AK146" s="24">
        <f t="shared" si="79"/>
        <v>0</v>
      </c>
      <c r="AL146" s="24">
        <f t="shared" si="76"/>
        <v>447.64842454394699</v>
      </c>
      <c r="AM146" s="24">
        <f t="shared" si="77"/>
        <v>161.33208955223881</v>
      </c>
      <c r="AN146" s="24">
        <f t="shared" si="80"/>
        <v>436.73017028677754</v>
      </c>
      <c r="AO146" s="24">
        <f t="shared" si="81"/>
        <v>157.39716053876958</v>
      </c>
      <c r="AP146" s="24">
        <f t="shared" si="82"/>
        <v>0</v>
      </c>
      <c r="AQ146" s="24">
        <f t="shared" si="83"/>
        <v>0</v>
      </c>
    </row>
    <row r="147" spans="1:43">
      <c r="A147" t="s">
        <v>61</v>
      </c>
      <c r="B147" t="s">
        <v>989</v>
      </c>
      <c r="C147" t="s">
        <v>990</v>
      </c>
      <c r="D147" s="117">
        <v>0.81443298969072164</v>
      </c>
      <c r="E147" s="109">
        <v>504</v>
      </c>
      <c r="F147" s="109">
        <v>253</v>
      </c>
      <c r="G147" s="117">
        <v>0.3342140026420079</v>
      </c>
      <c r="H147" s="109">
        <v>13</v>
      </c>
      <c r="I147" s="109">
        <v>656</v>
      </c>
      <c r="J147" s="117">
        <v>0.95766423357664232</v>
      </c>
      <c r="K147" s="117">
        <v>2.5162714904203076E-2</v>
      </c>
      <c r="L147" s="109">
        <v>704</v>
      </c>
      <c r="M147" s="109">
        <v>704</v>
      </c>
      <c r="N147" s="109">
        <v>688</v>
      </c>
      <c r="O147" s="109">
        <v>297</v>
      </c>
      <c r="P147" s="109">
        <v>215</v>
      </c>
      <c r="Q147" s="109">
        <v>176</v>
      </c>
      <c r="R147" s="109">
        <v>15</v>
      </c>
      <c r="S147" s="109">
        <v>2</v>
      </c>
      <c r="T147" s="109">
        <v>11</v>
      </c>
      <c r="U147" s="109">
        <v>2</v>
      </c>
      <c r="V147" s="109">
        <v>1</v>
      </c>
      <c r="W147" s="109">
        <v>0</v>
      </c>
      <c r="Y147" s="24">
        <f>(S147+T147)*'space heating'!$C$20</f>
        <v>3.25</v>
      </c>
      <c r="Z147" s="24">
        <f t="shared" si="71"/>
        <v>284.42627737226275</v>
      </c>
      <c r="AA147" s="24">
        <f t="shared" si="72"/>
        <v>205.89781021897809</v>
      </c>
      <c r="AB147" s="24">
        <f t="shared" si="73"/>
        <v>168.54890510948906</v>
      </c>
      <c r="AC147" s="24">
        <f>(Z147+AA147)*'space heating'!$C$22</f>
        <v>490.32408759124087</v>
      </c>
      <c r="AD147" s="24">
        <f>AB147*'space heating'!$C$23</f>
        <v>168.54890510948906</v>
      </c>
      <c r="AE147" s="24">
        <f>(O147+P147-Z147-AA147)*'space heating'!$C$24</f>
        <v>8.1284671532846851</v>
      </c>
      <c r="AF147" s="24">
        <f>(O147+P147-Z147-AA147)*'space heating'!$C$25</f>
        <v>8.1284671532846851</v>
      </c>
      <c r="AG147" s="24">
        <f>(Q147-AB147)*'space heating'!$C$26</f>
        <v>3.7255474452554722</v>
      </c>
      <c r="AH147" s="24">
        <f t="shared" si="74"/>
        <v>498.45255474452557</v>
      </c>
      <c r="AI147" s="24">
        <f t="shared" si="75"/>
        <v>183.6529197080292</v>
      </c>
      <c r="AJ147" s="24">
        <f t="shared" si="78"/>
        <v>0</v>
      </c>
      <c r="AK147" s="24">
        <f t="shared" si="79"/>
        <v>0</v>
      </c>
      <c r="AL147" s="24">
        <f t="shared" si="76"/>
        <v>498.45255474452557</v>
      </c>
      <c r="AM147" s="24">
        <f t="shared" si="77"/>
        <v>183.6529197080292</v>
      </c>
      <c r="AN147" s="24">
        <f t="shared" si="80"/>
        <v>405.95620437956205</v>
      </c>
      <c r="AO147" s="24">
        <f t="shared" si="81"/>
        <v>149.57299646324029</v>
      </c>
      <c r="AP147" s="24">
        <f t="shared" si="82"/>
        <v>0</v>
      </c>
      <c r="AQ147" s="24">
        <f t="shared" si="83"/>
        <v>0</v>
      </c>
    </row>
    <row r="148" spans="1:43">
      <c r="A148" t="s">
        <v>61</v>
      </c>
      <c r="B148" t="s">
        <v>991</v>
      </c>
      <c r="C148" t="s">
        <v>992</v>
      </c>
      <c r="D148" s="117">
        <v>5.1020408163265307E-2</v>
      </c>
      <c r="E148" s="109">
        <v>529</v>
      </c>
      <c r="F148" s="109">
        <v>161</v>
      </c>
      <c r="G148" s="117">
        <v>0.23333333333333334</v>
      </c>
      <c r="H148" s="109" t="e">
        <v>#N/A</v>
      </c>
      <c r="I148" s="109">
        <v>631</v>
      </c>
      <c r="J148" s="117">
        <v>1</v>
      </c>
      <c r="K148" s="117" t="e">
        <v>#N/A</v>
      </c>
      <c r="L148" s="109">
        <v>662</v>
      </c>
      <c r="M148" s="109">
        <v>662</v>
      </c>
      <c r="N148" s="109">
        <v>637</v>
      </c>
      <c r="O148" s="109">
        <v>435</v>
      </c>
      <c r="P148" s="109">
        <v>136</v>
      </c>
      <c r="Q148" s="109">
        <v>66</v>
      </c>
      <c r="R148" s="109">
        <v>15</v>
      </c>
      <c r="S148" s="109">
        <v>5</v>
      </c>
      <c r="T148" s="109">
        <v>6</v>
      </c>
      <c r="U148" s="109">
        <v>4</v>
      </c>
      <c r="V148" s="109">
        <v>10</v>
      </c>
      <c r="W148" s="109">
        <v>0</v>
      </c>
      <c r="Y148" s="24">
        <f>(S148+T148)*'space heating'!$C$20</f>
        <v>2.75</v>
      </c>
      <c r="Z148" s="24">
        <f t="shared" si="71"/>
        <v>435</v>
      </c>
      <c r="AA148" s="24">
        <f t="shared" si="72"/>
        <v>136</v>
      </c>
      <c r="AB148" s="24">
        <f t="shared" si="73"/>
        <v>66</v>
      </c>
      <c r="AC148" s="24">
        <f>(Z148+AA148)*'space heating'!$C$22</f>
        <v>571</v>
      </c>
      <c r="AD148" s="24">
        <f>AB148*'space heating'!$C$23</f>
        <v>66</v>
      </c>
      <c r="AE148" s="24">
        <f>(O148+P148-Z148-AA148)*'space heating'!$C$24</f>
        <v>0</v>
      </c>
      <c r="AF148" s="24">
        <f>(O148+P148-Z148-AA148)*'space heating'!$C$25</f>
        <v>0</v>
      </c>
      <c r="AG148" s="24">
        <f>(Q148-AB148)*'space heating'!$C$26</f>
        <v>0</v>
      </c>
      <c r="AH148" s="24">
        <f t="shared" si="74"/>
        <v>571</v>
      </c>
      <c r="AI148" s="24">
        <f t="shared" si="75"/>
        <v>68.75</v>
      </c>
      <c r="AJ148" s="24">
        <f t="shared" si="78"/>
        <v>0</v>
      </c>
      <c r="AK148" s="24">
        <f t="shared" si="79"/>
        <v>0</v>
      </c>
      <c r="AL148" s="24">
        <f t="shared" si="76"/>
        <v>571</v>
      </c>
      <c r="AM148" s="24">
        <f t="shared" si="77"/>
        <v>68.75</v>
      </c>
      <c r="AN148" s="24">
        <f t="shared" si="80"/>
        <v>29.132653061224492</v>
      </c>
      <c r="AO148" s="24">
        <f t="shared" si="81"/>
        <v>3.5076530612244898</v>
      </c>
      <c r="AP148" s="24">
        <f t="shared" si="82"/>
        <v>0</v>
      </c>
      <c r="AQ148" s="24">
        <f t="shared" si="83"/>
        <v>0</v>
      </c>
    </row>
    <row r="149" spans="1:43">
      <c r="A149" t="s">
        <v>61</v>
      </c>
      <c r="B149" t="s">
        <v>993</v>
      </c>
      <c r="C149" t="s">
        <v>994</v>
      </c>
      <c r="D149" s="117">
        <v>0</v>
      </c>
      <c r="E149" s="109">
        <v>495</v>
      </c>
      <c r="F149" s="109">
        <v>181</v>
      </c>
      <c r="G149" s="117">
        <v>0.26775147928994081</v>
      </c>
      <c r="H149" s="109" t="e">
        <v>#N/A</v>
      </c>
      <c r="I149" s="109">
        <v>595</v>
      </c>
      <c r="J149" s="117">
        <v>1</v>
      </c>
      <c r="K149" s="117" t="e">
        <v>#N/A</v>
      </c>
      <c r="L149" s="109">
        <v>643</v>
      </c>
      <c r="M149" s="109">
        <v>641</v>
      </c>
      <c r="N149" s="109">
        <v>615</v>
      </c>
      <c r="O149" s="109">
        <v>365</v>
      </c>
      <c r="P149" s="109">
        <v>162</v>
      </c>
      <c r="Q149" s="109">
        <v>88</v>
      </c>
      <c r="R149" s="109">
        <v>20</v>
      </c>
      <c r="S149" s="109">
        <v>5</v>
      </c>
      <c r="T149" s="109">
        <v>12</v>
      </c>
      <c r="U149" s="109">
        <v>3</v>
      </c>
      <c r="V149" s="109">
        <v>6</v>
      </c>
      <c r="W149" s="109">
        <v>2</v>
      </c>
      <c r="Y149" s="24">
        <f>(S149+T149)*'space heating'!$C$20</f>
        <v>4.25</v>
      </c>
      <c r="Z149" s="24">
        <f t="shared" si="71"/>
        <v>365</v>
      </c>
      <c r="AA149" s="24">
        <f t="shared" si="72"/>
        <v>162</v>
      </c>
      <c r="AB149" s="24">
        <f t="shared" si="73"/>
        <v>88</v>
      </c>
      <c r="AC149" s="24">
        <f>(Z149+AA149)*'space heating'!$C$22</f>
        <v>527</v>
      </c>
      <c r="AD149" s="24">
        <f>AB149*'space heating'!$C$23</f>
        <v>88</v>
      </c>
      <c r="AE149" s="24">
        <f>(O149+P149-Z149-AA149)*'space heating'!$C$24</f>
        <v>0</v>
      </c>
      <c r="AF149" s="24">
        <f>(O149+P149-Z149-AA149)*'space heating'!$C$25</f>
        <v>0</v>
      </c>
      <c r="AG149" s="24">
        <f>(Q149-AB149)*'space heating'!$C$26</f>
        <v>0</v>
      </c>
      <c r="AH149" s="24">
        <f t="shared" si="74"/>
        <v>527</v>
      </c>
      <c r="AI149" s="24">
        <f t="shared" si="75"/>
        <v>92.25</v>
      </c>
      <c r="AJ149" s="24">
        <f t="shared" si="78"/>
        <v>0</v>
      </c>
      <c r="AK149" s="24">
        <f t="shared" si="79"/>
        <v>0</v>
      </c>
      <c r="AL149" s="24">
        <f t="shared" si="76"/>
        <v>527</v>
      </c>
      <c r="AM149" s="24">
        <f t="shared" si="77"/>
        <v>92.25</v>
      </c>
      <c r="AN149" s="24">
        <f t="shared" si="80"/>
        <v>0</v>
      </c>
      <c r="AO149" s="24">
        <f t="shared" si="81"/>
        <v>0</v>
      </c>
      <c r="AP149" s="24">
        <f t="shared" si="82"/>
        <v>0</v>
      </c>
      <c r="AQ149" s="24">
        <f t="shared" si="83"/>
        <v>0</v>
      </c>
    </row>
    <row r="150" spans="1:43">
      <c r="A150" t="s">
        <v>61</v>
      </c>
      <c r="B150" t="s">
        <v>995</v>
      </c>
      <c r="C150" t="s">
        <v>996</v>
      </c>
      <c r="D150" s="117">
        <v>0</v>
      </c>
      <c r="E150" s="109">
        <v>482</v>
      </c>
      <c r="F150" s="109">
        <v>160</v>
      </c>
      <c r="G150" s="117">
        <v>0.24922118380062305</v>
      </c>
      <c r="H150" s="109">
        <v>28</v>
      </c>
      <c r="I150" s="109">
        <v>555</v>
      </c>
      <c r="J150" s="117">
        <v>0.95360824742268047</v>
      </c>
      <c r="K150" s="117">
        <v>2.7780454122104947E-3</v>
      </c>
      <c r="L150" s="109">
        <v>628</v>
      </c>
      <c r="M150" s="109">
        <v>628</v>
      </c>
      <c r="N150" s="109">
        <v>606</v>
      </c>
      <c r="O150" s="109">
        <v>349</v>
      </c>
      <c r="P150" s="109">
        <v>153</v>
      </c>
      <c r="Q150" s="109">
        <v>104</v>
      </c>
      <c r="R150" s="109">
        <v>19</v>
      </c>
      <c r="S150" s="109">
        <v>6</v>
      </c>
      <c r="T150" s="109">
        <v>8</v>
      </c>
      <c r="U150" s="109">
        <v>5</v>
      </c>
      <c r="V150" s="109">
        <v>3</v>
      </c>
      <c r="W150" s="109">
        <v>0</v>
      </c>
      <c r="Y150" s="24">
        <f>(S150+T150)*'space heating'!$C$20</f>
        <v>3.5</v>
      </c>
      <c r="Z150" s="24">
        <f t="shared" si="71"/>
        <v>332.80927835051546</v>
      </c>
      <c r="AA150" s="24">
        <f t="shared" si="72"/>
        <v>145.9020618556701</v>
      </c>
      <c r="AB150" s="24">
        <f t="shared" si="73"/>
        <v>99.175257731958766</v>
      </c>
      <c r="AC150" s="24">
        <f>(Z150+AA150)*'space heating'!$C$22</f>
        <v>478.71134020618558</v>
      </c>
      <c r="AD150" s="24">
        <f>AB150*'space heating'!$C$23</f>
        <v>99.175257731958766</v>
      </c>
      <c r="AE150" s="24">
        <f>(O150+P150-Z150-AA150)*'space heating'!$C$24</f>
        <v>8.7332474226804173</v>
      </c>
      <c r="AF150" s="24">
        <f>(O150+P150-Z150-AA150)*'space heating'!$C$25</f>
        <v>8.7332474226804173</v>
      </c>
      <c r="AG150" s="24">
        <f>(Q150-AB150)*'space heating'!$C$26</f>
        <v>2.4123711340206171</v>
      </c>
      <c r="AH150" s="24">
        <f t="shared" si="74"/>
        <v>487.44458762886597</v>
      </c>
      <c r="AI150" s="24">
        <f t="shared" si="75"/>
        <v>113.8208762886598</v>
      </c>
      <c r="AJ150" s="24">
        <f>IF($A150="South hams",AH150,0)</f>
        <v>0</v>
      </c>
      <c r="AK150" s="24">
        <f>IF($A150="South hams",AI150,0)</f>
        <v>0</v>
      </c>
      <c r="AL150" s="24">
        <f t="shared" si="76"/>
        <v>487.44458762886597</v>
      </c>
      <c r="AM150" s="24">
        <f t="shared" si="77"/>
        <v>113.8208762886598</v>
      </c>
      <c r="AN150" s="24">
        <f>AH150*$D150</f>
        <v>0</v>
      </c>
      <c r="AO150" s="24">
        <f>AI150*$D150</f>
        <v>0</v>
      </c>
      <c r="AP150" s="24">
        <f>IF(AND($A150="teignbridge",$D150&gt;0),AN150,0)</f>
        <v>0</v>
      </c>
      <c r="AQ150" s="24">
        <f>IF(AND($A150="teignbridge",$D150&gt;0),AO150,0)</f>
        <v>0</v>
      </c>
    </row>
    <row r="151" spans="1:43">
      <c r="A151" t="s">
        <v>61</v>
      </c>
      <c r="B151" t="s">
        <v>997</v>
      </c>
      <c r="C151" t="s">
        <v>998</v>
      </c>
      <c r="D151" s="117">
        <v>0</v>
      </c>
      <c r="E151" s="109">
        <v>521</v>
      </c>
      <c r="F151" s="109">
        <v>216</v>
      </c>
      <c r="G151" s="117">
        <v>0.29308005427408412</v>
      </c>
      <c r="H151" s="109" t="e">
        <v>#N/A</v>
      </c>
      <c r="I151" s="109">
        <v>637</v>
      </c>
      <c r="J151" s="117">
        <v>1</v>
      </c>
      <c r="K151" s="117" t="e">
        <v>#N/A</v>
      </c>
      <c r="L151" s="109">
        <v>706</v>
      </c>
      <c r="M151" s="109">
        <v>706</v>
      </c>
      <c r="N151" s="109">
        <v>679</v>
      </c>
      <c r="O151" s="109">
        <v>400</v>
      </c>
      <c r="P151" s="109">
        <v>198</v>
      </c>
      <c r="Q151" s="109">
        <v>81</v>
      </c>
      <c r="R151" s="109">
        <v>23</v>
      </c>
      <c r="S151" s="109">
        <v>22</v>
      </c>
      <c r="T151" s="109">
        <v>0</v>
      </c>
      <c r="U151" s="109">
        <v>1</v>
      </c>
      <c r="V151" s="109">
        <v>4</v>
      </c>
      <c r="W151" s="109">
        <v>0</v>
      </c>
      <c r="Y151" s="24">
        <f>(S151+T151)*'space heating'!$C$20</f>
        <v>5.5</v>
      </c>
      <c r="Z151" s="24">
        <f t="shared" si="71"/>
        <v>400</v>
      </c>
      <c r="AA151" s="24">
        <f t="shared" si="72"/>
        <v>198</v>
      </c>
      <c r="AB151" s="24">
        <f t="shared" si="73"/>
        <v>81</v>
      </c>
      <c r="AC151" s="24">
        <f>(Z151+AA151)*'space heating'!$C$22</f>
        <v>598</v>
      </c>
      <c r="AD151" s="24">
        <f>AB151*'space heating'!$C$23</f>
        <v>81</v>
      </c>
      <c r="AE151" s="24">
        <f>(O151+P151-Z151-AA151)*'space heating'!$C$24</f>
        <v>0</v>
      </c>
      <c r="AF151" s="24">
        <f>(O151+P151-Z151-AA151)*'space heating'!$C$25</f>
        <v>0</v>
      </c>
      <c r="AG151" s="24">
        <f>(Q151-AB151)*'space heating'!$C$26</f>
        <v>0</v>
      </c>
      <c r="AH151" s="24">
        <f t="shared" si="74"/>
        <v>598</v>
      </c>
      <c r="AI151" s="24">
        <f t="shared" si="75"/>
        <v>86.5</v>
      </c>
      <c r="AJ151" s="24">
        <f t="shared" ref="AJ151:AJ161" si="84">IF($A151="South hams",AH151,0)</f>
        <v>0</v>
      </c>
      <c r="AK151" s="24">
        <f t="shared" ref="AK151:AK161" si="85">IF($A151="South hams",AI151,0)</f>
        <v>0</v>
      </c>
      <c r="AL151" s="24">
        <f t="shared" si="76"/>
        <v>598</v>
      </c>
      <c r="AM151" s="24">
        <f t="shared" si="77"/>
        <v>86.5</v>
      </c>
      <c r="AN151" s="24">
        <f t="shared" ref="AN151:AN161" si="86">AH151*$D151</f>
        <v>0</v>
      </c>
      <c r="AO151" s="24">
        <f t="shared" ref="AO151:AO161" si="87">AI151*$D151</f>
        <v>0</v>
      </c>
      <c r="AP151" s="24">
        <f t="shared" ref="AP151:AP161" si="88">IF(AND($A151="teignbridge",$D151&gt;0),AN151,0)</f>
        <v>0</v>
      </c>
      <c r="AQ151" s="24">
        <f t="shared" ref="AQ151:AQ161" si="89">IF(AND($A151="teignbridge",$D151&gt;0),AO151,0)</f>
        <v>0</v>
      </c>
    </row>
    <row r="152" spans="1:43">
      <c r="A152" t="s">
        <v>61</v>
      </c>
      <c r="B152" t="s">
        <v>999</v>
      </c>
      <c r="C152" t="s">
        <v>1000</v>
      </c>
      <c r="D152" s="117">
        <v>0</v>
      </c>
      <c r="E152" s="109">
        <v>865</v>
      </c>
      <c r="F152" s="109">
        <v>213</v>
      </c>
      <c r="G152" s="117">
        <v>0.19758812615955473</v>
      </c>
      <c r="H152" s="109">
        <v>888</v>
      </c>
      <c r="I152" s="109">
        <v>79</v>
      </c>
      <c r="J152" s="117">
        <v>9.0909090909090912E-2</v>
      </c>
      <c r="K152" s="117">
        <v>8.5343228200371019E-2</v>
      </c>
      <c r="L152" s="109">
        <v>932</v>
      </c>
      <c r="M152" s="109">
        <v>928</v>
      </c>
      <c r="N152" s="109">
        <v>525</v>
      </c>
      <c r="O152" s="109">
        <v>79</v>
      </c>
      <c r="P152" s="109">
        <v>160</v>
      </c>
      <c r="Q152" s="109">
        <v>286</v>
      </c>
      <c r="R152" s="109">
        <v>403</v>
      </c>
      <c r="S152" s="109">
        <v>229</v>
      </c>
      <c r="T152" s="109">
        <v>91</v>
      </c>
      <c r="U152" s="109">
        <v>83</v>
      </c>
      <c r="V152" s="109">
        <v>0</v>
      </c>
      <c r="W152" s="109">
        <v>4</v>
      </c>
      <c r="Y152" s="24">
        <f>(S152+T152)*'space heating'!$C$20</f>
        <v>80</v>
      </c>
      <c r="Z152" s="24">
        <f t="shared" si="71"/>
        <v>7.1818181818181817</v>
      </c>
      <c r="AA152" s="24">
        <f t="shared" si="72"/>
        <v>14.545454545454547</v>
      </c>
      <c r="AB152" s="24">
        <f t="shared" si="73"/>
        <v>26</v>
      </c>
      <c r="AC152" s="24">
        <f>(Z152+AA152)*'space heating'!$C$22</f>
        <v>21.727272727272727</v>
      </c>
      <c r="AD152" s="24">
        <f>AB152*'space heating'!$C$23</f>
        <v>26</v>
      </c>
      <c r="AE152" s="24">
        <f>(O152+P152-Z152-AA152)*'space heating'!$C$24</f>
        <v>81.47727272727272</v>
      </c>
      <c r="AF152" s="24">
        <f>(O152+P152-Z152-AA152)*'space heating'!$C$25</f>
        <v>81.47727272727272</v>
      </c>
      <c r="AG152" s="24">
        <f>(Q152-AB152)*'space heating'!$C$26</f>
        <v>130</v>
      </c>
      <c r="AH152" s="24">
        <f t="shared" si="74"/>
        <v>103.20454545454544</v>
      </c>
      <c r="AI152" s="24">
        <f t="shared" si="75"/>
        <v>317.47727272727275</v>
      </c>
      <c r="AJ152" s="24">
        <f t="shared" si="84"/>
        <v>0</v>
      </c>
      <c r="AK152" s="24">
        <f t="shared" si="85"/>
        <v>0</v>
      </c>
      <c r="AL152" s="24">
        <f t="shared" si="76"/>
        <v>103.20454545454544</v>
      </c>
      <c r="AM152" s="24">
        <f t="shared" si="77"/>
        <v>317.47727272727275</v>
      </c>
      <c r="AN152" s="24">
        <f t="shared" si="86"/>
        <v>0</v>
      </c>
      <c r="AO152" s="24">
        <f t="shared" si="87"/>
        <v>0</v>
      </c>
      <c r="AP152" s="24">
        <f t="shared" si="88"/>
        <v>0</v>
      </c>
      <c r="AQ152" s="24">
        <f t="shared" si="89"/>
        <v>0</v>
      </c>
    </row>
    <row r="153" spans="1:43">
      <c r="A153" t="s">
        <v>61</v>
      </c>
      <c r="B153" t="s">
        <v>1001</v>
      </c>
      <c r="C153" t="s">
        <v>1002</v>
      </c>
      <c r="D153" s="117">
        <v>8.1967213114754092E-2</v>
      </c>
      <c r="E153" s="109">
        <v>780</v>
      </c>
      <c r="F153" s="109">
        <v>56</v>
      </c>
      <c r="G153" s="117">
        <v>6.6985645933014357E-2</v>
      </c>
      <c r="H153" s="109">
        <v>753</v>
      </c>
      <c r="I153" s="109">
        <v>98</v>
      </c>
      <c r="J153" s="117">
        <v>0.14961832061068703</v>
      </c>
      <c r="K153" s="117">
        <v>-5.0336023959969278E-2</v>
      </c>
      <c r="L153" s="109">
        <v>811</v>
      </c>
      <c r="M153" s="109">
        <v>811</v>
      </c>
      <c r="N153" s="109">
        <v>747</v>
      </c>
      <c r="O153" s="109">
        <v>465</v>
      </c>
      <c r="P153" s="109">
        <v>146</v>
      </c>
      <c r="Q153" s="109">
        <v>136</v>
      </c>
      <c r="R153" s="109">
        <v>62</v>
      </c>
      <c r="S153" s="109">
        <v>48</v>
      </c>
      <c r="T153" s="109">
        <v>12</v>
      </c>
      <c r="U153" s="109">
        <v>2</v>
      </c>
      <c r="V153" s="109">
        <v>2</v>
      </c>
      <c r="W153" s="109">
        <v>0</v>
      </c>
      <c r="Y153" s="24">
        <f>(S153+T153)*'space heating'!$C$20</f>
        <v>15</v>
      </c>
      <c r="Z153" s="24">
        <f t="shared" si="71"/>
        <v>69.572519083969468</v>
      </c>
      <c r="AA153" s="24">
        <f t="shared" si="72"/>
        <v>21.844274809160307</v>
      </c>
      <c r="AB153" s="24">
        <f t="shared" si="73"/>
        <v>20.348091603053437</v>
      </c>
      <c r="AC153" s="24">
        <f>(Z153+AA153)*'space heating'!$C$22</f>
        <v>91.416793893129778</v>
      </c>
      <c r="AD153" s="24">
        <f>AB153*'space heating'!$C$23</f>
        <v>20.348091603053437</v>
      </c>
      <c r="AE153" s="24">
        <f>(O153+P153-Z153-AA153)*'space heating'!$C$24</f>
        <v>194.84370229007632</v>
      </c>
      <c r="AF153" s="24">
        <f>(O153+P153-Z153-AA153)*'space heating'!$C$25</f>
        <v>194.84370229007632</v>
      </c>
      <c r="AG153" s="24">
        <f>(Q153-AB153)*'space heating'!$C$26</f>
        <v>57.825954198473283</v>
      </c>
      <c r="AH153" s="24">
        <f t="shared" si="74"/>
        <v>286.2604961832061</v>
      </c>
      <c r="AI153" s="24">
        <f t="shared" si="75"/>
        <v>288.01774809160304</v>
      </c>
      <c r="AJ153" s="24">
        <f t="shared" si="84"/>
        <v>0</v>
      </c>
      <c r="AK153" s="24">
        <f t="shared" si="85"/>
        <v>0</v>
      </c>
      <c r="AL153" s="24">
        <f t="shared" si="76"/>
        <v>286.2604961832061</v>
      </c>
      <c r="AM153" s="24">
        <f t="shared" si="77"/>
        <v>288.01774809160304</v>
      </c>
      <c r="AN153" s="24">
        <f t="shared" si="86"/>
        <v>23.463975096984104</v>
      </c>
      <c r="AO153" s="24">
        <f t="shared" si="87"/>
        <v>23.608012138655987</v>
      </c>
      <c r="AP153" s="24">
        <f t="shared" si="88"/>
        <v>0</v>
      </c>
      <c r="AQ153" s="24">
        <f t="shared" si="89"/>
        <v>0</v>
      </c>
    </row>
    <row r="154" spans="1:43">
      <c r="A154" t="s">
        <v>61</v>
      </c>
      <c r="B154" t="s">
        <v>1003</v>
      </c>
      <c r="C154" t="s">
        <v>1004</v>
      </c>
      <c r="D154" s="117">
        <v>0</v>
      </c>
      <c r="E154" s="109">
        <v>757</v>
      </c>
      <c r="F154" s="109">
        <v>116</v>
      </c>
      <c r="G154" s="117">
        <v>0.13287514318442153</v>
      </c>
      <c r="H154" s="109">
        <v>796</v>
      </c>
      <c r="I154" s="109">
        <v>57</v>
      </c>
      <c r="J154" s="117">
        <v>6.9174757281553395E-2</v>
      </c>
      <c r="K154" s="117">
        <v>1.9026846383967816E-2</v>
      </c>
      <c r="L154" s="109">
        <v>840</v>
      </c>
      <c r="M154" s="109">
        <v>840</v>
      </c>
      <c r="N154" s="109">
        <v>736</v>
      </c>
      <c r="O154" s="109">
        <v>159</v>
      </c>
      <c r="P154" s="109">
        <v>275</v>
      </c>
      <c r="Q154" s="109">
        <v>302</v>
      </c>
      <c r="R154" s="109">
        <v>104</v>
      </c>
      <c r="S154" s="109">
        <v>79</v>
      </c>
      <c r="T154" s="109">
        <v>21</v>
      </c>
      <c r="U154" s="109">
        <v>4</v>
      </c>
      <c r="V154" s="109">
        <v>0</v>
      </c>
      <c r="W154" s="109">
        <v>0</v>
      </c>
      <c r="Y154" s="24">
        <f>(S154+T154)*'space heating'!$C$20</f>
        <v>25</v>
      </c>
      <c r="Z154" s="24">
        <f t="shared" si="71"/>
        <v>10.998786407766989</v>
      </c>
      <c r="AA154" s="24">
        <f t="shared" si="72"/>
        <v>19.023058252427184</v>
      </c>
      <c r="AB154" s="24">
        <f t="shared" si="73"/>
        <v>20.890776699029125</v>
      </c>
      <c r="AC154" s="24">
        <f>(Z154+AA154)*'space heating'!$C$22</f>
        <v>30.021844660194173</v>
      </c>
      <c r="AD154" s="24">
        <f>AB154*'space heating'!$C$23</f>
        <v>20.890776699029125</v>
      </c>
      <c r="AE154" s="24">
        <f>(O154+P154-Z154-AA154)*'space heating'!$C$24</f>
        <v>151.49180825242718</v>
      </c>
      <c r="AF154" s="24">
        <f>(O154+P154-Z154-AA154)*'space heating'!$C$25</f>
        <v>151.49180825242718</v>
      </c>
      <c r="AG154" s="24">
        <f>(Q154-AB154)*'space heating'!$C$26</f>
        <v>140.55461165048544</v>
      </c>
      <c r="AH154" s="24">
        <f t="shared" si="74"/>
        <v>181.51365291262135</v>
      </c>
      <c r="AI154" s="24">
        <f t="shared" si="75"/>
        <v>337.93719660194176</v>
      </c>
      <c r="AJ154" s="24">
        <f t="shared" si="84"/>
        <v>0</v>
      </c>
      <c r="AK154" s="24">
        <f t="shared" si="85"/>
        <v>0</v>
      </c>
      <c r="AL154" s="24">
        <f t="shared" si="76"/>
        <v>181.51365291262135</v>
      </c>
      <c r="AM154" s="24">
        <f t="shared" si="77"/>
        <v>337.93719660194176</v>
      </c>
      <c r="AN154" s="24">
        <f t="shared" si="86"/>
        <v>0</v>
      </c>
      <c r="AO154" s="24">
        <f t="shared" si="87"/>
        <v>0</v>
      </c>
      <c r="AP154" s="24">
        <f t="shared" si="88"/>
        <v>0</v>
      </c>
      <c r="AQ154" s="24">
        <f t="shared" si="89"/>
        <v>0</v>
      </c>
    </row>
    <row r="155" spans="1:43">
      <c r="A155" t="s">
        <v>61</v>
      </c>
      <c r="B155" t="s">
        <v>1005</v>
      </c>
      <c r="C155" t="s">
        <v>1006</v>
      </c>
      <c r="D155" s="117">
        <v>0</v>
      </c>
      <c r="E155" s="109">
        <v>625</v>
      </c>
      <c r="F155" s="109">
        <v>91</v>
      </c>
      <c r="G155" s="117">
        <v>0.1270949720670391</v>
      </c>
      <c r="H155" s="109">
        <v>651</v>
      </c>
      <c r="I155" s="109">
        <v>12</v>
      </c>
      <c r="J155" s="117">
        <v>1.9230769230769232E-2</v>
      </c>
      <c r="K155" s="117">
        <v>7.155135367425873E-2</v>
      </c>
      <c r="L155" s="109">
        <v>668</v>
      </c>
      <c r="M155" s="109">
        <v>666</v>
      </c>
      <c r="N155" s="109">
        <v>578</v>
      </c>
      <c r="O155" s="109">
        <v>337</v>
      </c>
      <c r="P155" s="109">
        <v>159</v>
      </c>
      <c r="Q155" s="109">
        <v>82</v>
      </c>
      <c r="R155" s="109">
        <v>88</v>
      </c>
      <c r="S155" s="109">
        <v>75</v>
      </c>
      <c r="T155" s="109">
        <v>9</v>
      </c>
      <c r="U155" s="109">
        <v>4</v>
      </c>
      <c r="V155" s="109">
        <v>0</v>
      </c>
      <c r="W155" s="109">
        <v>2</v>
      </c>
      <c r="Y155" s="24">
        <f>(S155+T155)*'space heating'!$C$20</f>
        <v>21</v>
      </c>
      <c r="Z155" s="24">
        <f t="shared" si="71"/>
        <v>6.4807692307692308</v>
      </c>
      <c r="AA155" s="24">
        <f t="shared" si="72"/>
        <v>3.0576923076923079</v>
      </c>
      <c r="AB155" s="24">
        <f t="shared" si="73"/>
        <v>1.5769230769230771</v>
      </c>
      <c r="AC155" s="24">
        <f>(Z155+AA155)*'space heating'!$C$22</f>
        <v>9.5384615384615383</v>
      </c>
      <c r="AD155" s="24">
        <f>AB155*'space heating'!$C$23</f>
        <v>1.5769230769230771</v>
      </c>
      <c r="AE155" s="24">
        <f>(O155+P155-Z155-AA155)*'space heating'!$C$24</f>
        <v>182.42307692307691</v>
      </c>
      <c r="AF155" s="24">
        <f>(O155+P155-Z155-AA155)*'space heating'!$C$25</f>
        <v>182.42307692307691</v>
      </c>
      <c r="AG155" s="24">
        <f>(Q155-AB155)*'space heating'!$C$26</f>
        <v>40.21153846153846</v>
      </c>
      <c r="AH155" s="24">
        <f t="shared" si="74"/>
        <v>191.96153846153845</v>
      </c>
      <c r="AI155" s="24">
        <f t="shared" si="75"/>
        <v>245.21153846153842</v>
      </c>
      <c r="AJ155" s="24">
        <f t="shared" si="84"/>
        <v>0</v>
      </c>
      <c r="AK155" s="24">
        <f t="shared" si="85"/>
        <v>0</v>
      </c>
      <c r="AL155" s="24">
        <f t="shared" si="76"/>
        <v>191.96153846153845</v>
      </c>
      <c r="AM155" s="24">
        <f t="shared" si="77"/>
        <v>245.21153846153842</v>
      </c>
      <c r="AN155" s="24">
        <f t="shared" si="86"/>
        <v>0</v>
      </c>
      <c r="AO155" s="24">
        <f t="shared" si="87"/>
        <v>0</v>
      </c>
      <c r="AP155" s="24">
        <f t="shared" si="88"/>
        <v>0</v>
      </c>
      <c r="AQ155" s="24">
        <f t="shared" si="89"/>
        <v>0</v>
      </c>
    </row>
    <row r="156" spans="1:43">
      <c r="A156" t="s">
        <v>61</v>
      </c>
      <c r="B156" t="s">
        <v>1007</v>
      </c>
      <c r="C156" t="s">
        <v>1008</v>
      </c>
      <c r="D156" s="117">
        <v>0</v>
      </c>
      <c r="E156" s="109">
        <v>626</v>
      </c>
      <c r="F156" s="109">
        <v>50</v>
      </c>
      <c r="G156" s="117">
        <v>7.3964497041420121E-2</v>
      </c>
      <c r="H156" s="109">
        <v>628</v>
      </c>
      <c r="I156" s="109">
        <v>0</v>
      </c>
      <c r="J156" s="117">
        <v>0</v>
      </c>
      <c r="K156" s="117">
        <v>7.1005917159763343E-2</v>
      </c>
      <c r="L156" s="109">
        <v>606</v>
      </c>
      <c r="M156" s="109">
        <v>606</v>
      </c>
      <c r="N156" s="109">
        <v>600</v>
      </c>
      <c r="O156" s="109">
        <v>432</v>
      </c>
      <c r="P156" s="109">
        <v>77</v>
      </c>
      <c r="Q156" s="109">
        <v>91</v>
      </c>
      <c r="R156" s="109">
        <v>6</v>
      </c>
      <c r="S156" s="109">
        <v>3</v>
      </c>
      <c r="T156" s="109">
        <v>2</v>
      </c>
      <c r="U156" s="109">
        <v>1</v>
      </c>
      <c r="V156" s="109">
        <v>0</v>
      </c>
      <c r="W156" s="109">
        <v>0</v>
      </c>
      <c r="Y156" s="24">
        <f>(S156+T156)*'space heating'!$C$20</f>
        <v>1.25</v>
      </c>
      <c r="Z156" s="24">
        <f t="shared" si="71"/>
        <v>0</v>
      </c>
      <c r="AA156" s="24">
        <f t="shared" si="72"/>
        <v>0</v>
      </c>
      <c r="AB156" s="24">
        <f t="shared" si="73"/>
        <v>0</v>
      </c>
      <c r="AC156" s="24">
        <f>(Z156+AA156)*'space heating'!$C$22</f>
        <v>0</v>
      </c>
      <c r="AD156" s="24">
        <f>AB156*'space heating'!$C$23</f>
        <v>0</v>
      </c>
      <c r="AE156" s="24">
        <f>(O156+P156-Z156-AA156)*'space heating'!$C$24</f>
        <v>190.875</v>
      </c>
      <c r="AF156" s="24">
        <f>(O156+P156-Z156-AA156)*'space heating'!$C$25</f>
        <v>190.875</v>
      </c>
      <c r="AG156" s="24">
        <f>(Q156-AB156)*'space heating'!$C$26</f>
        <v>45.5</v>
      </c>
      <c r="AH156" s="24">
        <f t="shared" si="74"/>
        <v>190.875</v>
      </c>
      <c r="AI156" s="24">
        <f t="shared" si="75"/>
        <v>237.625</v>
      </c>
      <c r="AJ156" s="24">
        <f t="shared" si="84"/>
        <v>0</v>
      </c>
      <c r="AK156" s="24">
        <f t="shared" si="85"/>
        <v>0</v>
      </c>
      <c r="AL156" s="24">
        <f t="shared" si="76"/>
        <v>190.875</v>
      </c>
      <c r="AM156" s="24">
        <f t="shared" si="77"/>
        <v>237.625</v>
      </c>
      <c r="AN156" s="24">
        <f t="shared" si="86"/>
        <v>0</v>
      </c>
      <c r="AO156" s="24">
        <f t="shared" si="87"/>
        <v>0</v>
      </c>
      <c r="AP156" s="24">
        <f t="shared" si="88"/>
        <v>0</v>
      </c>
      <c r="AQ156" s="24">
        <f t="shared" si="89"/>
        <v>0</v>
      </c>
    </row>
    <row r="157" spans="1:43">
      <c r="A157" t="s">
        <v>61</v>
      </c>
      <c r="B157" t="s">
        <v>1009</v>
      </c>
      <c r="C157" t="s">
        <v>1010</v>
      </c>
      <c r="D157" s="117">
        <v>0</v>
      </c>
      <c r="E157" s="109">
        <v>490</v>
      </c>
      <c r="F157" s="109">
        <v>126</v>
      </c>
      <c r="G157" s="117">
        <v>0.20454545454545456</v>
      </c>
      <c r="H157" s="109">
        <v>499</v>
      </c>
      <c r="I157" s="109">
        <v>44</v>
      </c>
      <c r="J157" s="117">
        <v>7.6655052264808357E-2</v>
      </c>
      <c r="K157" s="117">
        <v>0.1132800126702566</v>
      </c>
      <c r="L157" s="109">
        <v>581</v>
      </c>
      <c r="M157" s="109">
        <v>581</v>
      </c>
      <c r="N157" s="109">
        <v>451</v>
      </c>
      <c r="O157" s="109">
        <v>113</v>
      </c>
      <c r="P157" s="109">
        <v>149</v>
      </c>
      <c r="Q157" s="109">
        <v>189</v>
      </c>
      <c r="R157" s="109">
        <v>130</v>
      </c>
      <c r="S157" s="109">
        <v>113</v>
      </c>
      <c r="T157" s="109">
        <v>15</v>
      </c>
      <c r="U157" s="109">
        <v>2</v>
      </c>
      <c r="V157" s="109">
        <v>0</v>
      </c>
      <c r="W157" s="109">
        <v>0</v>
      </c>
      <c r="Y157" s="24">
        <f>(S157+T157)*'space heating'!$C$20</f>
        <v>32</v>
      </c>
      <c r="Z157" s="24">
        <f t="shared" si="71"/>
        <v>8.6620209059233435</v>
      </c>
      <c r="AA157" s="24">
        <f t="shared" si="72"/>
        <v>11.421602787456445</v>
      </c>
      <c r="AB157" s="24">
        <f t="shared" si="73"/>
        <v>14.487804878048779</v>
      </c>
      <c r="AC157" s="24">
        <f>(Z157+AA157)*'space heating'!$C$22</f>
        <v>20.083623693379788</v>
      </c>
      <c r="AD157" s="24">
        <f>AB157*'space heating'!$C$23</f>
        <v>14.487804878048779</v>
      </c>
      <c r="AE157" s="24">
        <f>(O157+P157-Z157-AA157)*'space heating'!$C$24</f>
        <v>90.718641114982574</v>
      </c>
      <c r="AF157" s="24">
        <f>(O157+P157-Z157-AA157)*'space heating'!$C$25</f>
        <v>90.718641114982574</v>
      </c>
      <c r="AG157" s="24">
        <f>(Q157-AB157)*'space heating'!$C$26</f>
        <v>87.256097560975604</v>
      </c>
      <c r="AH157" s="24">
        <f t="shared" si="74"/>
        <v>110.80226480836237</v>
      </c>
      <c r="AI157" s="24">
        <f t="shared" si="75"/>
        <v>224.46254355400697</v>
      </c>
      <c r="AJ157" s="24">
        <f t="shared" si="84"/>
        <v>0</v>
      </c>
      <c r="AK157" s="24">
        <f t="shared" si="85"/>
        <v>0</v>
      </c>
      <c r="AL157" s="24">
        <f t="shared" si="76"/>
        <v>110.80226480836237</v>
      </c>
      <c r="AM157" s="24">
        <f t="shared" si="77"/>
        <v>224.46254355400697</v>
      </c>
      <c r="AN157" s="24">
        <f t="shared" si="86"/>
        <v>0</v>
      </c>
      <c r="AO157" s="24">
        <f t="shared" si="87"/>
        <v>0</v>
      </c>
      <c r="AP157" s="24">
        <f t="shared" si="88"/>
        <v>0</v>
      </c>
      <c r="AQ157" s="24">
        <f t="shared" si="89"/>
        <v>0</v>
      </c>
    </row>
    <row r="158" spans="1:43">
      <c r="A158" t="s">
        <v>61</v>
      </c>
      <c r="B158" t="s">
        <v>1011</v>
      </c>
      <c r="C158" t="s">
        <v>1012</v>
      </c>
      <c r="D158" s="117">
        <v>0</v>
      </c>
      <c r="E158" s="109">
        <v>777</v>
      </c>
      <c r="F158" s="109">
        <v>118</v>
      </c>
      <c r="G158" s="117">
        <v>0.13184357541899441</v>
      </c>
      <c r="H158" s="109">
        <v>977</v>
      </c>
      <c r="I158" s="109">
        <v>95</v>
      </c>
      <c r="J158" s="117">
        <v>0.11771995043370508</v>
      </c>
      <c r="K158" s="117">
        <v>-0.20934006216554868</v>
      </c>
      <c r="L158" s="109">
        <v>1029</v>
      </c>
      <c r="M158" s="109">
        <v>1029</v>
      </c>
      <c r="N158" s="109">
        <v>925</v>
      </c>
      <c r="O158" s="109">
        <v>220</v>
      </c>
      <c r="P158" s="109">
        <v>435</v>
      </c>
      <c r="Q158" s="109">
        <v>270</v>
      </c>
      <c r="R158" s="109">
        <v>103</v>
      </c>
      <c r="S158" s="109">
        <v>98</v>
      </c>
      <c r="T158" s="109">
        <v>5</v>
      </c>
      <c r="U158" s="109">
        <v>0</v>
      </c>
      <c r="V158" s="109">
        <v>1</v>
      </c>
      <c r="W158" s="109">
        <v>0</v>
      </c>
      <c r="Y158" s="24">
        <f>(S158+T158)*'space heating'!$C$20</f>
        <v>25.75</v>
      </c>
      <c r="Z158" s="24">
        <f t="shared" si="71"/>
        <v>25.898389095415116</v>
      </c>
      <c r="AA158" s="24">
        <f t="shared" si="72"/>
        <v>51.208178438661704</v>
      </c>
      <c r="AB158" s="24">
        <f t="shared" si="73"/>
        <v>31.78438661710037</v>
      </c>
      <c r="AC158" s="24">
        <f>(Z158+AA158)*'space heating'!$C$22</f>
        <v>77.106567534076817</v>
      </c>
      <c r="AD158" s="24">
        <f>AB158*'space heating'!$C$23</f>
        <v>31.78438661710037</v>
      </c>
      <c r="AE158" s="24">
        <f>(O158+P158-Z158-AA158)*'space heating'!$C$24</f>
        <v>216.71003717472121</v>
      </c>
      <c r="AF158" s="24">
        <f>(O158+P158-Z158-AA158)*'space heating'!$C$25</f>
        <v>216.71003717472121</v>
      </c>
      <c r="AG158" s="24">
        <f>(Q158-AB158)*'space heating'!$C$26</f>
        <v>119.10780669144981</v>
      </c>
      <c r="AH158" s="24">
        <f t="shared" si="74"/>
        <v>293.81660470879802</v>
      </c>
      <c r="AI158" s="24">
        <f t="shared" si="75"/>
        <v>393.3522304832714</v>
      </c>
      <c r="AJ158" s="24">
        <f t="shared" si="84"/>
        <v>0</v>
      </c>
      <c r="AK158" s="24">
        <f t="shared" si="85"/>
        <v>0</v>
      </c>
      <c r="AL158" s="24">
        <f t="shared" si="76"/>
        <v>293.81660470879802</v>
      </c>
      <c r="AM158" s="24">
        <f t="shared" si="77"/>
        <v>393.3522304832714</v>
      </c>
      <c r="AN158" s="24">
        <f t="shared" si="86"/>
        <v>0</v>
      </c>
      <c r="AO158" s="24">
        <f t="shared" si="87"/>
        <v>0</v>
      </c>
      <c r="AP158" s="24">
        <f t="shared" si="88"/>
        <v>0</v>
      </c>
      <c r="AQ158" s="24">
        <f t="shared" si="89"/>
        <v>0</v>
      </c>
    </row>
    <row r="159" spans="1:43">
      <c r="A159" t="s">
        <v>61</v>
      </c>
      <c r="B159" t="s">
        <v>1013</v>
      </c>
      <c r="C159" t="s">
        <v>1014</v>
      </c>
      <c r="D159" s="117">
        <v>1</v>
      </c>
      <c r="E159" s="109">
        <v>568</v>
      </c>
      <c r="F159" s="109">
        <v>136</v>
      </c>
      <c r="G159" s="117">
        <v>0.19318181818181818</v>
      </c>
      <c r="H159" s="109">
        <v>103</v>
      </c>
      <c r="I159" s="109">
        <v>571</v>
      </c>
      <c r="J159" s="117">
        <v>0.9165329052969502</v>
      </c>
      <c r="K159" s="117">
        <v>-6.2839723478768317E-2</v>
      </c>
      <c r="L159" s="109">
        <v>648</v>
      </c>
      <c r="M159" s="109">
        <v>648</v>
      </c>
      <c r="N159" s="109">
        <v>624</v>
      </c>
      <c r="O159" s="109">
        <v>444</v>
      </c>
      <c r="P159" s="109">
        <v>137</v>
      </c>
      <c r="Q159" s="109">
        <v>43</v>
      </c>
      <c r="R159" s="109">
        <v>24</v>
      </c>
      <c r="S159" s="109">
        <v>9</v>
      </c>
      <c r="T159" s="109">
        <v>12</v>
      </c>
      <c r="U159" s="109">
        <v>3</v>
      </c>
      <c r="V159" s="109">
        <v>0</v>
      </c>
      <c r="W159" s="109">
        <v>0</v>
      </c>
      <c r="Y159" s="24">
        <f>(S159+T159)*'space heating'!$C$20</f>
        <v>5.25</v>
      </c>
      <c r="Z159" s="24">
        <f t="shared" si="71"/>
        <v>406.94060995184589</v>
      </c>
      <c r="AA159" s="24">
        <f t="shared" si="72"/>
        <v>125.56500802568218</v>
      </c>
      <c r="AB159" s="24">
        <f t="shared" si="73"/>
        <v>39.410914927768857</v>
      </c>
      <c r="AC159" s="24">
        <f>(Z159+AA159)*'space heating'!$C$22</f>
        <v>532.50561797752812</v>
      </c>
      <c r="AD159" s="24">
        <f>AB159*'space heating'!$C$23</f>
        <v>39.410914927768857</v>
      </c>
      <c r="AE159" s="24">
        <f>(O159+P159-Z159-AA159)*'space heating'!$C$24</f>
        <v>18.185393258426977</v>
      </c>
      <c r="AF159" s="24">
        <f>(O159+P159-Z159-AA159)*'space heating'!$C$25</f>
        <v>18.185393258426977</v>
      </c>
      <c r="AG159" s="24">
        <f>(Q159-AB159)*'space heating'!$C$26</f>
        <v>1.7945425361155714</v>
      </c>
      <c r="AH159" s="24">
        <f t="shared" si="74"/>
        <v>550.6910112359551</v>
      </c>
      <c r="AI159" s="24">
        <f t="shared" si="75"/>
        <v>64.640850722311399</v>
      </c>
      <c r="AJ159" s="24">
        <f t="shared" si="84"/>
        <v>0</v>
      </c>
      <c r="AK159" s="24">
        <f t="shared" si="85"/>
        <v>0</v>
      </c>
      <c r="AL159" s="24">
        <f t="shared" si="76"/>
        <v>550.6910112359551</v>
      </c>
      <c r="AM159" s="24">
        <f t="shared" si="77"/>
        <v>64.640850722311399</v>
      </c>
      <c r="AN159" s="24">
        <f t="shared" si="86"/>
        <v>550.6910112359551</v>
      </c>
      <c r="AO159" s="24">
        <f t="shared" si="87"/>
        <v>64.640850722311399</v>
      </c>
      <c r="AP159" s="24">
        <f t="shared" si="88"/>
        <v>0</v>
      </c>
      <c r="AQ159" s="24">
        <f t="shared" si="89"/>
        <v>0</v>
      </c>
    </row>
    <row r="160" spans="1:43">
      <c r="A160" t="s">
        <v>61</v>
      </c>
      <c r="B160" t="s">
        <v>1015</v>
      </c>
      <c r="C160" t="s">
        <v>1016</v>
      </c>
      <c r="D160" s="117">
        <v>0.90123456790123457</v>
      </c>
      <c r="E160" s="109">
        <v>544</v>
      </c>
      <c r="F160" s="109">
        <v>186</v>
      </c>
      <c r="G160" s="117">
        <v>0.25479452054794521</v>
      </c>
      <c r="H160" s="109" t="e">
        <v>#N/A</v>
      </c>
      <c r="I160" s="109">
        <v>647</v>
      </c>
      <c r="J160" s="117">
        <v>0.98179059180576633</v>
      </c>
      <c r="K160" s="117" t="e">
        <v>#N/A</v>
      </c>
      <c r="L160" s="109">
        <v>661</v>
      </c>
      <c r="M160" s="109">
        <v>661</v>
      </c>
      <c r="N160" s="109">
        <v>643</v>
      </c>
      <c r="O160" s="109">
        <v>436</v>
      </c>
      <c r="P160" s="109">
        <v>155</v>
      </c>
      <c r="Q160" s="109">
        <v>52</v>
      </c>
      <c r="R160" s="109">
        <v>15</v>
      </c>
      <c r="S160" s="109">
        <v>8</v>
      </c>
      <c r="T160" s="109">
        <v>4</v>
      </c>
      <c r="U160" s="109">
        <v>3</v>
      </c>
      <c r="V160" s="109">
        <v>3</v>
      </c>
      <c r="W160" s="109">
        <v>0</v>
      </c>
      <c r="Y160" s="24">
        <f>(S160+T160)*'space heating'!$C$20</f>
        <v>3</v>
      </c>
      <c r="Z160" s="24">
        <f t="shared" si="71"/>
        <v>428.06069802731412</v>
      </c>
      <c r="AA160" s="24">
        <f t="shared" si="72"/>
        <v>152.17754172989379</v>
      </c>
      <c r="AB160" s="24">
        <f t="shared" si="73"/>
        <v>51.053110773899846</v>
      </c>
      <c r="AC160" s="24">
        <f>(Z160+AA160)*'space heating'!$C$22</f>
        <v>580.23823975720791</v>
      </c>
      <c r="AD160" s="24">
        <f>AB160*'space heating'!$C$23</f>
        <v>51.053110773899846</v>
      </c>
      <c r="AE160" s="24">
        <f>(O160+P160-Z160-AA160)*'space heating'!$C$24</f>
        <v>4.0356600910470348</v>
      </c>
      <c r="AF160" s="24">
        <f>(O160+P160-Z160-AA160)*'space heating'!$C$25</f>
        <v>4.0356600910470348</v>
      </c>
      <c r="AG160" s="24">
        <f>(Q160-AB160)*'space heating'!$C$26</f>
        <v>0.47344461305007712</v>
      </c>
      <c r="AH160" s="24">
        <f t="shared" si="74"/>
        <v>584.27389984825493</v>
      </c>
      <c r="AI160" s="24">
        <f t="shared" si="75"/>
        <v>58.562215477996958</v>
      </c>
      <c r="AJ160" s="24">
        <f t="shared" si="84"/>
        <v>0</v>
      </c>
      <c r="AK160" s="24">
        <f t="shared" si="85"/>
        <v>0</v>
      </c>
      <c r="AL160" s="24">
        <f t="shared" si="76"/>
        <v>584.27389984825493</v>
      </c>
      <c r="AM160" s="24">
        <f t="shared" si="77"/>
        <v>58.562215477996958</v>
      </c>
      <c r="AN160" s="24">
        <f t="shared" si="86"/>
        <v>526.56783566571119</v>
      </c>
      <c r="AO160" s="24">
        <f t="shared" si="87"/>
        <v>52.77829296165158</v>
      </c>
      <c r="AP160" s="24">
        <f t="shared" si="88"/>
        <v>0</v>
      </c>
      <c r="AQ160" s="24">
        <f t="shared" si="89"/>
        <v>0</v>
      </c>
    </row>
    <row r="161" spans="1:43">
      <c r="A161" t="s">
        <v>61</v>
      </c>
      <c r="B161" t="s">
        <v>1017</v>
      </c>
      <c r="C161" t="s">
        <v>1018</v>
      </c>
      <c r="D161" s="117">
        <v>0.9358974358974359</v>
      </c>
      <c r="E161" s="109">
        <v>564</v>
      </c>
      <c r="F161" s="109">
        <v>120</v>
      </c>
      <c r="G161" s="117">
        <v>0.17543859649122806</v>
      </c>
      <c r="H161" s="109">
        <v>412</v>
      </c>
      <c r="I161" s="109">
        <v>277</v>
      </c>
      <c r="J161" s="117">
        <v>0.39069111424541608</v>
      </c>
      <c r="K161" s="117">
        <v>6.969704468034188E-3</v>
      </c>
      <c r="L161" s="109">
        <v>668</v>
      </c>
      <c r="M161" s="109">
        <v>668</v>
      </c>
      <c r="N161" s="109">
        <v>617</v>
      </c>
      <c r="O161" s="109">
        <v>461</v>
      </c>
      <c r="P161" s="109">
        <v>99</v>
      </c>
      <c r="Q161" s="109">
        <v>57</v>
      </c>
      <c r="R161" s="109">
        <v>26</v>
      </c>
      <c r="S161" s="109">
        <v>9</v>
      </c>
      <c r="T161" s="109">
        <v>15</v>
      </c>
      <c r="U161" s="109">
        <v>2</v>
      </c>
      <c r="V161" s="109">
        <v>25</v>
      </c>
      <c r="W161" s="109">
        <v>0</v>
      </c>
      <c r="Y161" s="24">
        <f>(S161+T161)*'space heating'!$C$20</f>
        <v>6</v>
      </c>
      <c r="Z161" s="24">
        <f t="shared" si="71"/>
        <v>180.1086036671368</v>
      </c>
      <c r="AA161" s="24">
        <f t="shared" si="72"/>
        <v>38.67842031029619</v>
      </c>
      <c r="AB161" s="24">
        <f t="shared" si="73"/>
        <v>22.269393511988717</v>
      </c>
      <c r="AC161" s="24">
        <f>(Z161+AA161)*'space heating'!$C$22</f>
        <v>218.78702397743299</v>
      </c>
      <c r="AD161" s="24">
        <f>AB161*'space heating'!$C$23</f>
        <v>22.269393511988717</v>
      </c>
      <c r="AE161" s="24">
        <f>(O161+P161-Z161-AA161)*'space heating'!$C$24</f>
        <v>127.95486600846263</v>
      </c>
      <c r="AF161" s="24">
        <f>(O161+P161-Z161-AA161)*'space heating'!$C$25</f>
        <v>127.95486600846263</v>
      </c>
      <c r="AG161" s="24">
        <f>(Q161-AB161)*'space heating'!$C$26</f>
        <v>17.365303244005641</v>
      </c>
      <c r="AH161" s="24">
        <f t="shared" si="74"/>
        <v>346.74188998589563</v>
      </c>
      <c r="AI161" s="24">
        <f t="shared" si="75"/>
        <v>173.58956276445699</v>
      </c>
      <c r="AJ161" s="24">
        <f t="shared" si="84"/>
        <v>0</v>
      </c>
      <c r="AK161" s="24">
        <f t="shared" si="85"/>
        <v>0</v>
      </c>
      <c r="AL161" s="24">
        <f t="shared" si="76"/>
        <v>346.74188998589563</v>
      </c>
      <c r="AM161" s="24">
        <f t="shared" si="77"/>
        <v>173.58956276445699</v>
      </c>
      <c r="AN161" s="24">
        <f t="shared" si="86"/>
        <v>324.51484575603052</v>
      </c>
      <c r="AO161" s="24">
        <f t="shared" si="87"/>
        <v>162.46202668981232</v>
      </c>
      <c r="AP161" s="24">
        <f t="shared" si="88"/>
        <v>0</v>
      </c>
      <c r="AQ161" s="24">
        <f t="shared" si="89"/>
        <v>0</v>
      </c>
    </row>
    <row r="162" spans="1:43">
      <c r="A162" t="s">
        <v>61</v>
      </c>
      <c r="B162" t="s">
        <v>1019</v>
      </c>
      <c r="C162" t="s">
        <v>1020</v>
      </c>
      <c r="D162" s="117">
        <v>1</v>
      </c>
      <c r="E162" s="109">
        <v>596</v>
      </c>
      <c r="F162" s="109">
        <v>94</v>
      </c>
      <c r="G162" s="117">
        <v>0.13623188405797101</v>
      </c>
      <c r="H162" s="109">
        <v>575</v>
      </c>
      <c r="I162" s="109">
        <v>20</v>
      </c>
      <c r="J162" s="117">
        <v>3.048780487804878E-2</v>
      </c>
      <c r="K162" s="117">
        <v>0.13617886178861785</v>
      </c>
      <c r="L162" s="109">
        <v>653</v>
      </c>
      <c r="M162" s="109">
        <v>653</v>
      </c>
      <c r="N162" s="109">
        <v>589</v>
      </c>
      <c r="O162" s="109">
        <v>116</v>
      </c>
      <c r="P162" s="109">
        <v>304</v>
      </c>
      <c r="Q162" s="109">
        <v>169</v>
      </c>
      <c r="R162" s="109">
        <v>61</v>
      </c>
      <c r="S162" s="109">
        <v>53</v>
      </c>
      <c r="T162" s="109">
        <v>3</v>
      </c>
      <c r="U162" s="109">
        <v>5</v>
      </c>
      <c r="V162" s="109">
        <v>3</v>
      </c>
      <c r="W162" s="109">
        <v>0</v>
      </c>
      <c r="Y162" s="24">
        <f>(S162+T162)*'space heating'!$C$20</f>
        <v>14</v>
      </c>
      <c r="Z162" s="24">
        <f t="shared" si="71"/>
        <v>3.5365853658536586</v>
      </c>
      <c r="AA162" s="24">
        <f t="shared" si="72"/>
        <v>9.2682926829268286</v>
      </c>
      <c r="AB162" s="24">
        <f t="shared" si="73"/>
        <v>5.1524390243902438</v>
      </c>
      <c r="AC162" s="24">
        <f>(Z162+AA162)*'space heating'!$C$22</f>
        <v>12.804878048780488</v>
      </c>
      <c r="AD162" s="24">
        <f>AB162*'space heating'!$C$23</f>
        <v>5.1524390243902438</v>
      </c>
      <c r="AE162" s="24">
        <f>(O162+P162-Z162-AA162)*'space heating'!$C$24</f>
        <v>152.69817073170731</v>
      </c>
      <c r="AF162" s="24">
        <f>(O162+P162-Z162-AA162)*'space heating'!$C$25</f>
        <v>152.69817073170731</v>
      </c>
      <c r="AG162" s="24">
        <f>(Q162-AB162)*'space heating'!$C$26</f>
        <v>81.923780487804876</v>
      </c>
      <c r="AH162" s="24">
        <f t="shared" si="74"/>
        <v>165.5030487804878</v>
      </c>
      <c r="AI162" s="24">
        <f t="shared" si="75"/>
        <v>253.77439024390242</v>
      </c>
      <c r="AJ162" s="24">
        <f t="shared" ref="AJ162:AK166" si="90">IF($A162="South hams",AH162,0)</f>
        <v>0</v>
      </c>
      <c r="AK162" s="24">
        <f t="shared" si="90"/>
        <v>0</v>
      </c>
      <c r="AL162" s="24">
        <f t="shared" si="76"/>
        <v>165.5030487804878</v>
      </c>
      <c r="AM162" s="24">
        <f t="shared" si="77"/>
        <v>253.77439024390242</v>
      </c>
      <c r="AN162" s="24">
        <f t="shared" ref="AN162:AO166" si="91">AH162*$D162</f>
        <v>165.5030487804878</v>
      </c>
      <c r="AO162" s="24">
        <f t="shared" si="91"/>
        <v>253.77439024390242</v>
      </c>
      <c r="AP162" s="24">
        <f t="shared" ref="AP162:AQ166" si="92">IF(AND($A162="teignbridge",$D162&gt;0),AN162,0)</f>
        <v>0</v>
      </c>
      <c r="AQ162" s="24">
        <f t="shared" si="92"/>
        <v>0</v>
      </c>
    </row>
    <row r="163" spans="1:43">
      <c r="A163" t="s">
        <v>61</v>
      </c>
      <c r="B163" t="s">
        <v>1021</v>
      </c>
      <c r="C163" t="s">
        <v>1022</v>
      </c>
      <c r="D163" s="117">
        <v>0</v>
      </c>
      <c r="E163" s="109">
        <v>628</v>
      </c>
      <c r="F163" s="109">
        <v>167</v>
      </c>
      <c r="G163" s="117">
        <v>0.21006289308176102</v>
      </c>
      <c r="H163" s="109">
        <v>470</v>
      </c>
      <c r="I163" s="109">
        <v>157</v>
      </c>
      <c r="J163" s="117">
        <v>0.22557471264367815</v>
      </c>
      <c r="K163" s="117">
        <v>0.18323031880286275</v>
      </c>
      <c r="L163" s="109">
        <v>714</v>
      </c>
      <c r="M163" s="109">
        <v>714</v>
      </c>
      <c r="N163" s="109">
        <v>698</v>
      </c>
      <c r="O163" s="109">
        <v>420</v>
      </c>
      <c r="P163" s="109">
        <v>189</v>
      </c>
      <c r="Q163" s="109">
        <v>89</v>
      </c>
      <c r="R163" s="109">
        <v>13</v>
      </c>
      <c r="S163" s="109">
        <v>7</v>
      </c>
      <c r="T163" s="109">
        <v>5</v>
      </c>
      <c r="U163" s="109">
        <v>1</v>
      </c>
      <c r="V163" s="109">
        <v>3</v>
      </c>
      <c r="W163" s="109">
        <v>0</v>
      </c>
      <c r="Y163" s="24">
        <f>(S163+T163)*'space heating'!$C$20</f>
        <v>3</v>
      </c>
      <c r="Z163" s="24">
        <f t="shared" si="71"/>
        <v>94.741379310344826</v>
      </c>
      <c r="AA163" s="24">
        <f t="shared" si="72"/>
        <v>42.633620689655167</v>
      </c>
      <c r="AB163" s="24">
        <f t="shared" si="73"/>
        <v>20.076149425287355</v>
      </c>
      <c r="AC163" s="24">
        <f>(Z163+AA163)*'space heating'!$C$22</f>
        <v>137.375</v>
      </c>
      <c r="AD163" s="24">
        <f>AB163*'space heating'!$C$23</f>
        <v>20.076149425287355</v>
      </c>
      <c r="AE163" s="24">
        <f>(O163+P163-Z163-AA163)*'space heating'!$C$24</f>
        <v>176.85937499999997</v>
      </c>
      <c r="AF163" s="24">
        <f>(O163+P163-Z163-AA163)*'space heating'!$C$25</f>
        <v>176.85937499999997</v>
      </c>
      <c r="AG163" s="24">
        <f>(Q163-AB163)*'space heating'!$C$26</f>
        <v>34.461925287356323</v>
      </c>
      <c r="AH163" s="24">
        <f t="shared" si="74"/>
        <v>314.234375</v>
      </c>
      <c r="AI163" s="24">
        <f t="shared" si="75"/>
        <v>234.39744971264366</v>
      </c>
      <c r="AJ163" s="24">
        <f t="shared" si="90"/>
        <v>0</v>
      </c>
      <c r="AK163" s="24">
        <f t="shared" si="90"/>
        <v>0</v>
      </c>
      <c r="AL163" s="24">
        <f t="shared" si="76"/>
        <v>314.234375</v>
      </c>
      <c r="AM163" s="24">
        <f t="shared" si="77"/>
        <v>234.39744971264366</v>
      </c>
      <c r="AN163" s="24">
        <f t="shared" si="91"/>
        <v>0</v>
      </c>
      <c r="AO163" s="24">
        <f t="shared" si="91"/>
        <v>0</v>
      </c>
      <c r="AP163" s="24">
        <f t="shared" si="92"/>
        <v>0</v>
      </c>
      <c r="AQ163" s="24">
        <f t="shared" si="92"/>
        <v>0</v>
      </c>
    </row>
    <row r="164" spans="1:43">
      <c r="A164" t="s">
        <v>61</v>
      </c>
      <c r="B164" t="s">
        <v>1023</v>
      </c>
      <c r="C164" t="s">
        <v>1024</v>
      </c>
      <c r="D164" s="117">
        <v>0</v>
      </c>
      <c r="E164" s="109">
        <v>529</v>
      </c>
      <c r="F164" s="109">
        <v>146</v>
      </c>
      <c r="G164" s="117">
        <v>0.21629629629629629</v>
      </c>
      <c r="H164" s="109">
        <v>515</v>
      </c>
      <c r="I164" s="109">
        <v>28</v>
      </c>
      <c r="J164" s="117">
        <v>4.3681747269890797E-2</v>
      </c>
      <c r="K164" s="117">
        <v>0.19335528976714625</v>
      </c>
      <c r="L164" s="109">
        <v>632</v>
      </c>
      <c r="M164" s="109">
        <v>632</v>
      </c>
      <c r="N164" s="109">
        <v>579</v>
      </c>
      <c r="O164" s="109">
        <v>107</v>
      </c>
      <c r="P164" s="109">
        <v>222</v>
      </c>
      <c r="Q164" s="109">
        <v>250</v>
      </c>
      <c r="R164" s="109">
        <v>52</v>
      </c>
      <c r="S164" s="109">
        <v>40</v>
      </c>
      <c r="T164" s="109">
        <v>7</v>
      </c>
      <c r="U164" s="109">
        <v>5</v>
      </c>
      <c r="V164" s="109">
        <v>1</v>
      </c>
      <c r="W164" s="109">
        <v>0</v>
      </c>
      <c r="Y164" s="24">
        <f>(S164+T164)*'space heating'!$C$20</f>
        <v>11.75</v>
      </c>
      <c r="Z164" s="24">
        <f t="shared" si="71"/>
        <v>4.6739469578783153</v>
      </c>
      <c r="AA164" s="24">
        <f t="shared" si="72"/>
        <v>9.6973478939157562</v>
      </c>
      <c r="AB164" s="24">
        <f t="shared" si="73"/>
        <v>10.9204368174727</v>
      </c>
      <c r="AC164" s="24">
        <f>(Z164+AA164)*'space heating'!$C$22</f>
        <v>14.371294851794072</v>
      </c>
      <c r="AD164" s="24">
        <f>AB164*'space heating'!$C$23</f>
        <v>10.9204368174727</v>
      </c>
      <c r="AE164" s="24">
        <f>(O164+P164-Z164-AA164)*'space heating'!$C$24</f>
        <v>117.98576443057721</v>
      </c>
      <c r="AF164" s="24">
        <f>(O164+P164-Z164-AA164)*'space heating'!$C$25</f>
        <v>117.98576443057721</v>
      </c>
      <c r="AG164" s="24">
        <f>(Q164-AB164)*'space heating'!$C$26</f>
        <v>119.53978159126365</v>
      </c>
      <c r="AH164" s="24">
        <f t="shared" si="74"/>
        <v>132.35705928237127</v>
      </c>
      <c r="AI164" s="24">
        <f t="shared" si="75"/>
        <v>260.19598283931356</v>
      </c>
      <c r="AJ164" s="24">
        <f t="shared" si="90"/>
        <v>0</v>
      </c>
      <c r="AK164" s="24">
        <f t="shared" si="90"/>
        <v>0</v>
      </c>
      <c r="AL164" s="24">
        <f t="shared" si="76"/>
        <v>132.35705928237127</v>
      </c>
      <c r="AM164" s="24">
        <f t="shared" si="77"/>
        <v>260.19598283931356</v>
      </c>
      <c r="AN164" s="24">
        <f t="shared" si="91"/>
        <v>0</v>
      </c>
      <c r="AO164" s="24">
        <f t="shared" si="91"/>
        <v>0</v>
      </c>
      <c r="AP164" s="24">
        <f t="shared" si="92"/>
        <v>0</v>
      </c>
      <c r="AQ164" s="24">
        <f t="shared" si="92"/>
        <v>0</v>
      </c>
    </row>
    <row r="165" spans="1:43">
      <c r="A165" t="s">
        <v>61</v>
      </c>
      <c r="B165" t="s">
        <v>1025</v>
      </c>
      <c r="C165" t="s">
        <v>1026</v>
      </c>
      <c r="D165" s="117">
        <v>0.39682539682539686</v>
      </c>
      <c r="E165" s="109">
        <v>552</v>
      </c>
      <c r="F165" s="109">
        <v>153</v>
      </c>
      <c r="G165" s="117">
        <v>0.21702127659574469</v>
      </c>
      <c r="H165" s="109">
        <v>468</v>
      </c>
      <c r="I165" s="109">
        <v>96</v>
      </c>
      <c r="J165" s="117">
        <v>0.15609756097560976</v>
      </c>
      <c r="K165" s="117">
        <v>0.18007265179034773</v>
      </c>
      <c r="L165" s="109">
        <v>645</v>
      </c>
      <c r="M165" s="109">
        <v>645</v>
      </c>
      <c r="N165" s="109">
        <v>503</v>
      </c>
      <c r="O165" s="109">
        <v>233</v>
      </c>
      <c r="P165" s="109">
        <v>110</v>
      </c>
      <c r="Q165" s="109">
        <v>160</v>
      </c>
      <c r="R165" s="109">
        <v>140</v>
      </c>
      <c r="S165" s="109">
        <v>95</v>
      </c>
      <c r="T165" s="109">
        <v>33</v>
      </c>
      <c r="U165" s="109">
        <v>12</v>
      </c>
      <c r="V165" s="109">
        <v>2</v>
      </c>
      <c r="W165" s="109">
        <v>0</v>
      </c>
      <c r="Y165" s="24">
        <f>(S165+T165)*'space heating'!$C$20</f>
        <v>32</v>
      </c>
      <c r="Z165" s="24">
        <f t="shared" si="71"/>
        <v>36.37073170731707</v>
      </c>
      <c r="AA165" s="24">
        <f t="shared" si="72"/>
        <v>17.170731707317074</v>
      </c>
      <c r="AB165" s="24">
        <f t="shared" si="73"/>
        <v>24.975609756097562</v>
      </c>
      <c r="AC165" s="24">
        <f>(Z165+AA165)*'space heating'!$C$22</f>
        <v>53.541463414634144</v>
      </c>
      <c r="AD165" s="24">
        <f>AB165*'space heating'!$C$23</f>
        <v>24.975609756097562</v>
      </c>
      <c r="AE165" s="24">
        <f>(O165+P165-Z165-AA165)*'space heating'!$C$24</f>
        <v>108.54695121951218</v>
      </c>
      <c r="AF165" s="24">
        <f>(O165+P165-Z165-AA165)*'space heating'!$C$25</f>
        <v>108.54695121951218</v>
      </c>
      <c r="AG165" s="24">
        <f>(Q165-AB165)*'space heating'!$C$26</f>
        <v>67.512195121951223</v>
      </c>
      <c r="AH165" s="24">
        <f t="shared" si="74"/>
        <v>162.08841463414632</v>
      </c>
      <c r="AI165" s="24">
        <f t="shared" si="75"/>
        <v>233.03475609756094</v>
      </c>
      <c r="AJ165" s="24">
        <f t="shared" si="90"/>
        <v>0</v>
      </c>
      <c r="AK165" s="24">
        <f t="shared" si="90"/>
        <v>0</v>
      </c>
      <c r="AL165" s="24">
        <f t="shared" si="76"/>
        <v>162.08841463414632</v>
      </c>
      <c r="AM165" s="24">
        <f t="shared" si="77"/>
        <v>233.03475609756094</v>
      </c>
      <c r="AN165" s="24">
        <f t="shared" si="91"/>
        <v>64.320799457994582</v>
      </c>
      <c r="AO165" s="24">
        <f t="shared" si="91"/>
        <v>92.474109562524191</v>
      </c>
      <c r="AP165" s="24">
        <f t="shared" si="92"/>
        <v>0</v>
      </c>
      <c r="AQ165" s="24">
        <f t="shared" si="92"/>
        <v>0</v>
      </c>
    </row>
    <row r="166" spans="1:43">
      <c r="A166" t="s">
        <v>61</v>
      </c>
      <c r="B166" t="s">
        <v>1027</v>
      </c>
      <c r="C166" t="s">
        <v>1028</v>
      </c>
      <c r="D166" s="117">
        <v>0.3</v>
      </c>
      <c r="E166" s="109">
        <v>704</v>
      </c>
      <c r="F166" s="109">
        <v>145</v>
      </c>
      <c r="G166" s="117">
        <v>0.17078916372202591</v>
      </c>
      <c r="H166" s="109">
        <v>460</v>
      </c>
      <c r="I166" s="109">
        <v>233</v>
      </c>
      <c r="J166" s="117">
        <v>0.30457516339869278</v>
      </c>
      <c r="K166" s="117">
        <v>0.15361093789694918</v>
      </c>
      <c r="L166" s="109">
        <v>774</v>
      </c>
      <c r="M166" s="109">
        <v>772</v>
      </c>
      <c r="N166" s="109">
        <v>734</v>
      </c>
      <c r="O166" s="109">
        <v>480</v>
      </c>
      <c r="P166" s="109">
        <v>151</v>
      </c>
      <c r="Q166" s="109">
        <v>103</v>
      </c>
      <c r="R166" s="109">
        <v>28</v>
      </c>
      <c r="S166" s="109">
        <v>13</v>
      </c>
      <c r="T166" s="109">
        <v>10</v>
      </c>
      <c r="U166" s="109">
        <v>5</v>
      </c>
      <c r="V166" s="109">
        <v>10</v>
      </c>
      <c r="W166" s="109">
        <v>2</v>
      </c>
      <c r="Y166" s="24">
        <f>(S166+T166)*'space heating'!$C$20</f>
        <v>5.75</v>
      </c>
      <c r="Z166" s="24">
        <f t="shared" si="71"/>
        <v>146.19607843137254</v>
      </c>
      <c r="AA166" s="24">
        <f t="shared" si="72"/>
        <v>45.990849673202611</v>
      </c>
      <c r="AB166" s="24">
        <f t="shared" si="73"/>
        <v>31.371241830065358</v>
      </c>
      <c r="AC166" s="24">
        <f>(Z166+AA166)*'space heating'!$C$22</f>
        <v>192.18692810457514</v>
      </c>
      <c r="AD166" s="24">
        <f>AB166*'space heating'!$C$23</f>
        <v>31.371241830065358</v>
      </c>
      <c r="AE166" s="24">
        <f>(O166+P166-Z166-AA166)*'space heating'!$C$24</f>
        <v>164.55490196078432</v>
      </c>
      <c r="AF166" s="24">
        <f>(O166+P166-Z166-AA166)*'space heating'!$C$25</f>
        <v>164.55490196078432</v>
      </c>
      <c r="AG166" s="24">
        <f>(Q166-AB166)*'space heating'!$C$26</f>
        <v>35.814379084967321</v>
      </c>
      <c r="AH166" s="24">
        <f t="shared" si="74"/>
        <v>356.74183006535947</v>
      </c>
      <c r="AI166" s="24">
        <f t="shared" si="75"/>
        <v>237.49052287581699</v>
      </c>
      <c r="AJ166" s="24">
        <f t="shared" si="90"/>
        <v>0</v>
      </c>
      <c r="AK166" s="24">
        <f t="shared" si="90"/>
        <v>0</v>
      </c>
      <c r="AL166" s="24">
        <f t="shared" si="76"/>
        <v>356.74183006535947</v>
      </c>
      <c r="AM166" s="24">
        <f t="shared" si="77"/>
        <v>237.49052287581699</v>
      </c>
      <c r="AN166" s="24">
        <f t="shared" si="91"/>
        <v>107.02254901960784</v>
      </c>
      <c r="AO166" s="24">
        <f t="shared" si="91"/>
        <v>71.247156862745101</v>
      </c>
      <c r="AP166" s="24">
        <f t="shared" si="92"/>
        <v>0</v>
      </c>
      <c r="AQ166" s="24">
        <f t="shared" si="92"/>
        <v>0</v>
      </c>
    </row>
    <row r="167" spans="1:43">
      <c r="AJ167" s="24">
        <f>SUM(AJ3:AJ166)</f>
        <v>15299.197432083361</v>
      </c>
      <c r="AK167" s="24">
        <f t="shared" ref="AK167:AQ167" si="93">SUM(AK3:AK166)</f>
        <v>11597.28055849361</v>
      </c>
      <c r="AL167" s="24">
        <f t="shared" si="93"/>
        <v>10884.558976886932</v>
      </c>
      <c r="AM167" s="24">
        <f t="shared" si="93"/>
        <v>6521.318315250116</v>
      </c>
      <c r="AN167" s="24">
        <f t="shared" si="93"/>
        <v>7151.1442321113518</v>
      </c>
      <c r="AO167" s="24">
        <f t="shared" si="93"/>
        <v>3966.4513760578939</v>
      </c>
      <c r="AP167" s="24">
        <f t="shared" si="93"/>
        <v>2763.1477858400176</v>
      </c>
      <c r="AQ167" s="24">
        <f t="shared" si="93"/>
        <v>1853.5109391128215</v>
      </c>
    </row>
  </sheetData>
  <mergeCells count="4">
    <mergeCell ref="AJ1:AK1"/>
    <mergeCell ref="AL1:AM1"/>
    <mergeCell ref="AN1:AO1"/>
    <mergeCell ref="AP1:AQ1"/>
  </mergeCell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rgb="FF00B050"/>
  </sheetPr>
  <dimension ref="B2:V78"/>
  <sheetViews>
    <sheetView workbookViewId="0">
      <selection activeCell="E42" sqref="E42"/>
    </sheetView>
  </sheetViews>
  <sheetFormatPr defaultRowHeight="15"/>
  <cols>
    <col min="2" max="2" width="22.42578125" customWidth="1"/>
  </cols>
  <sheetData>
    <row r="2" spans="2:3" ht="21">
      <c r="B2" s="116" t="s">
        <v>680</v>
      </c>
    </row>
    <row r="4" spans="2:3">
      <c r="B4" t="s">
        <v>681</v>
      </c>
    </row>
    <row r="5" spans="2:3">
      <c r="B5" t="s">
        <v>682</v>
      </c>
    </row>
    <row r="6" spans="2:3">
      <c r="B6" t="s">
        <v>683</v>
      </c>
    </row>
    <row r="7" spans="2:3">
      <c r="B7" t="s">
        <v>684</v>
      </c>
    </row>
    <row r="8" spans="2:3">
      <c r="B8" t="s">
        <v>685</v>
      </c>
    </row>
    <row r="10" spans="2:3">
      <c r="B10" t="s">
        <v>686</v>
      </c>
    </row>
    <row r="11" spans="2:3">
      <c r="B11" s="6">
        <v>1</v>
      </c>
      <c r="C11" t="s">
        <v>687</v>
      </c>
    </row>
    <row r="12" spans="2:3">
      <c r="B12" s="6">
        <v>0.75</v>
      </c>
      <c r="C12" t="s">
        <v>688</v>
      </c>
    </row>
    <row r="13" spans="2:3">
      <c r="B13" s="6">
        <v>0.5</v>
      </c>
      <c r="C13" t="s">
        <v>689</v>
      </c>
    </row>
    <row r="14" spans="2:3">
      <c r="B14" s="6">
        <v>0.25</v>
      </c>
      <c r="C14" t="s">
        <v>690</v>
      </c>
    </row>
    <row r="15" spans="2:3">
      <c r="B15" s="6">
        <v>0.5</v>
      </c>
      <c r="C15" t="s">
        <v>691</v>
      </c>
    </row>
    <row r="16" spans="2:3">
      <c r="B16" s="6">
        <v>0.1</v>
      </c>
      <c r="C16" t="s">
        <v>692</v>
      </c>
    </row>
    <row r="17" spans="2:4">
      <c r="B17" s="6" t="s">
        <v>1038</v>
      </c>
    </row>
    <row r="19" spans="2:4">
      <c r="B19" t="s">
        <v>1029</v>
      </c>
    </row>
    <row r="20" spans="2:4">
      <c r="B20" t="s">
        <v>1030</v>
      </c>
      <c r="C20" s="118">
        <v>0.25</v>
      </c>
      <c r="D20" t="s">
        <v>1037</v>
      </c>
    </row>
    <row r="21" spans="2:4">
      <c r="B21" t="s">
        <v>1031</v>
      </c>
      <c r="C21" s="16" t="s">
        <v>1039</v>
      </c>
    </row>
    <row r="22" spans="2:4">
      <c r="B22" t="s">
        <v>1032</v>
      </c>
      <c r="C22" s="118">
        <v>1</v>
      </c>
      <c r="D22" t="s">
        <v>1040</v>
      </c>
    </row>
    <row r="23" spans="2:4">
      <c r="B23" t="s">
        <v>1033</v>
      </c>
      <c r="C23" s="118">
        <v>1</v>
      </c>
      <c r="D23" t="s">
        <v>1041</v>
      </c>
    </row>
    <row r="24" spans="2:4">
      <c r="B24" t="s">
        <v>1034</v>
      </c>
      <c r="C24" s="117">
        <f>B12/2</f>
        <v>0.375</v>
      </c>
      <c r="D24" t="s">
        <v>1050</v>
      </c>
    </row>
    <row r="25" spans="2:4">
      <c r="B25" t="s">
        <v>1035</v>
      </c>
      <c r="C25" s="117">
        <f>B12/2</f>
        <v>0.375</v>
      </c>
      <c r="D25" t="s">
        <v>1043</v>
      </c>
    </row>
    <row r="26" spans="2:4">
      <c r="B26" t="s">
        <v>1036</v>
      </c>
      <c r="C26" s="118">
        <f>B13</f>
        <v>0.5</v>
      </c>
      <c r="D26" t="s">
        <v>1042</v>
      </c>
    </row>
    <row r="27" spans="2:4">
      <c r="B27" t="s">
        <v>1066</v>
      </c>
      <c r="C27" s="118">
        <v>0.5</v>
      </c>
      <c r="D27" t="s">
        <v>1067</v>
      </c>
    </row>
    <row r="28" spans="2:4">
      <c r="B28" t="s">
        <v>1074</v>
      </c>
      <c r="C28" s="118">
        <v>0.75</v>
      </c>
      <c r="D28" t="s">
        <v>1088</v>
      </c>
    </row>
    <row r="29" spans="2:4">
      <c r="B29" t="s">
        <v>1075</v>
      </c>
      <c r="C29" s="118">
        <v>1</v>
      </c>
      <c r="D29" t="s">
        <v>1076</v>
      </c>
    </row>
    <row r="30" spans="2:4">
      <c r="B30" t="s">
        <v>1077</v>
      </c>
      <c r="C30" s="118">
        <f>B16</f>
        <v>0.1</v>
      </c>
      <c r="D30" t="s">
        <v>1078</v>
      </c>
    </row>
    <row r="31" spans="2:4">
      <c r="B31" t="s">
        <v>1079</v>
      </c>
      <c r="C31" s="118">
        <v>1</v>
      </c>
      <c r="D31" t="s">
        <v>1080</v>
      </c>
    </row>
    <row r="32" spans="2:4">
      <c r="B32" t="s">
        <v>1081</v>
      </c>
      <c r="C32" s="118">
        <v>0.1</v>
      </c>
      <c r="D32" t="s">
        <v>1089</v>
      </c>
    </row>
    <row r="34" spans="2:22">
      <c r="B34" t="s">
        <v>1058</v>
      </c>
    </row>
    <row r="35" spans="2:22">
      <c r="B35" t="s">
        <v>1060</v>
      </c>
    </row>
    <row r="36" spans="2:22">
      <c r="B36" s="23" t="s">
        <v>1059</v>
      </c>
    </row>
    <row r="37" spans="2:22">
      <c r="B37" t="s">
        <v>1062</v>
      </c>
      <c r="C37">
        <v>10</v>
      </c>
      <c r="D37" t="s">
        <v>48</v>
      </c>
      <c r="E37" t="s">
        <v>673</v>
      </c>
    </row>
    <row r="38" spans="2:22">
      <c r="B38" t="s">
        <v>162</v>
      </c>
      <c r="C38" s="6">
        <v>0.85</v>
      </c>
      <c r="E38" t="s">
        <v>673</v>
      </c>
    </row>
    <row r="39" spans="2:22">
      <c r="B39" t="s">
        <v>668</v>
      </c>
      <c r="C39" s="119">
        <f>AVERAGE(8%,17%)</f>
        <v>0.125</v>
      </c>
      <c r="E39" t="s">
        <v>673</v>
      </c>
    </row>
    <row r="40" spans="2:22">
      <c r="B40" t="s">
        <v>1062</v>
      </c>
      <c r="C40">
        <f>AVERAGE(110,180)</f>
        <v>145</v>
      </c>
      <c r="D40" t="s">
        <v>48</v>
      </c>
      <c r="E40" t="s">
        <v>1061</v>
      </c>
    </row>
    <row r="41" spans="2:22">
      <c r="B41" t="s">
        <v>162</v>
      </c>
      <c r="C41" s="6">
        <v>0.81</v>
      </c>
      <c r="E41" t="s">
        <v>1061</v>
      </c>
    </row>
    <row r="42" spans="2:22">
      <c r="B42" t="s">
        <v>668</v>
      </c>
      <c r="C42" s="6">
        <v>0.2</v>
      </c>
      <c r="E42" t="s">
        <v>1061</v>
      </c>
    </row>
    <row r="43" spans="2:22">
      <c r="B43" t="s">
        <v>1062</v>
      </c>
      <c r="C43">
        <f>AVERAGE(350,1600)</f>
        <v>975</v>
      </c>
      <c r="D43" t="s">
        <v>48</v>
      </c>
      <c r="E43" t="s">
        <v>1063</v>
      </c>
    </row>
    <row r="44" spans="2:22">
      <c r="B44" t="s">
        <v>162</v>
      </c>
      <c r="C44" s="6">
        <v>0.81</v>
      </c>
      <c r="E44" t="s">
        <v>1063</v>
      </c>
    </row>
    <row r="45" spans="2:22">
      <c r="B45" t="s">
        <v>668</v>
      </c>
      <c r="C45" s="119">
        <f>AVERAGE(20%,45%)</f>
        <v>0.32500000000000001</v>
      </c>
      <c r="E45" t="s">
        <v>1063</v>
      </c>
      <c r="K45" t="s">
        <v>1090</v>
      </c>
    </row>
    <row r="46" spans="2:22">
      <c r="B46" t="s">
        <v>1062</v>
      </c>
      <c r="C46">
        <f>AVERAGE(100,735)</f>
        <v>417.5</v>
      </c>
      <c r="D46" t="s">
        <v>48</v>
      </c>
      <c r="E46" t="s">
        <v>1064</v>
      </c>
      <c r="K46" s="153" t="s">
        <v>1091</v>
      </c>
      <c r="L46" s="153"/>
      <c r="M46" s="153"/>
      <c r="N46" s="153" t="s">
        <v>1092</v>
      </c>
      <c r="O46" s="153"/>
      <c r="P46" s="153"/>
      <c r="Q46" s="153" t="s">
        <v>1093</v>
      </c>
      <c r="R46" s="153"/>
      <c r="S46" s="153"/>
      <c r="T46" s="153" t="s">
        <v>223</v>
      </c>
      <c r="U46" s="153"/>
      <c r="V46" s="153"/>
    </row>
    <row r="47" spans="2:22" ht="30">
      <c r="B47" t="s">
        <v>162</v>
      </c>
      <c r="C47" s="6">
        <v>0.81</v>
      </c>
      <c r="E47" t="s">
        <v>1064</v>
      </c>
      <c r="K47" s="12" t="s">
        <v>230</v>
      </c>
      <c r="L47" s="12" t="s">
        <v>258</v>
      </c>
      <c r="M47" s="12" t="s">
        <v>236</v>
      </c>
      <c r="N47" s="12" t="s">
        <v>230</v>
      </c>
      <c r="O47" s="12" t="s">
        <v>258</v>
      </c>
      <c r="P47" s="12" t="s">
        <v>236</v>
      </c>
      <c r="Q47" s="12" t="s">
        <v>230</v>
      </c>
      <c r="R47" s="12" t="s">
        <v>258</v>
      </c>
      <c r="S47" s="12" t="s">
        <v>236</v>
      </c>
      <c r="T47" s="12" t="s">
        <v>230</v>
      </c>
      <c r="U47" s="12" t="s">
        <v>258</v>
      </c>
      <c r="V47" s="12" t="s">
        <v>236</v>
      </c>
    </row>
    <row r="48" spans="2:22">
      <c r="B48" t="s">
        <v>668</v>
      </c>
      <c r="C48">
        <f>AVERAGE(20%,82%)</f>
        <v>0.51</v>
      </c>
      <c r="E48" t="s">
        <v>1064</v>
      </c>
      <c r="J48" t="s">
        <v>59</v>
      </c>
      <c r="K48" s="24">
        <f>'roof solar'!C40*'space heating'!$C$28</f>
        <v>21</v>
      </c>
      <c r="L48" s="24">
        <f>K48*$C$40/1000</f>
        <v>3.0449999999999999</v>
      </c>
      <c r="M48" s="24">
        <f>L48*8760/1000*$C$42</f>
        <v>5.3348399999999998</v>
      </c>
      <c r="N48" s="24">
        <f>'roof solar'!D40*'space heating'!$C$29</f>
        <v>6</v>
      </c>
      <c r="O48" s="24">
        <f>N48*$C$43/1000</f>
        <v>5.85</v>
      </c>
      <c r="P48" s="24">
        <f>O48*8760/1000*$C$45</f>
        <v>16.654950000000003</v>
      </c>
      <c r="Q48" s="24">
        <f>'roof solar'!E40*'space heating'!$C$31</f>
        <v>11</v>
      </c>
      <c r="R48" s="24">
        <f>Q48*$C$43/1000</f>
        <v>10.725</v>
      </c>
      <c r="S48" s="24">
        <f>R48*8760/1000*$C$45</f>
        <v>30.534074999999998</v>
      </c>
      <c r="T48" s="22">
        <f>K48+N48+Q48</f>
        <v>38</v>
      </c>
      <c r="U48" s="22">
        <f t="shared" ref="U48:V52" si="0">L48+O48+R48</f>
        <v>19.619999999999997</v>
      </c>
      <c r="V48" s="22">
        <f t="shared" si="0"/>
        <v>52.523865000000001</v>
      </c>
    </row>
    <row r="49" spans="2:22">
      <c r="J49" t="s">
        <v>61</v>
      </c>
      <c r="K49" s="24">
        <f>'roof solar'!C41*'space heating'!$C$28</f>
        <v>24.75</v>
      </c>
      <c r="L49" s="24">
        <f>K49*$C$40/1000</f>
        <v>3.5887500000000001</v>
      </c>
      <c r="M49" s="24">
        <f>L49*8760/1000*$C$42</f>
        <v>6.2874900000000009</v>
      </c>
      <c r="N49" s="24">
        <f>'roof solar'!D41*'space heating'!$C$29</f>
        <v>3</v>
      </c>
      <c r="O49" s="24">
        <f>N49*$C$43/1000</f>
        <v>2.9249999999999998</v>
      </c>
      <c r="P49" s="24">
        <f>O49*8760/1000*$C$45</f>
        <v>8.3274750000000015</v>
      </c>
      <c r="Q49" s="24">
        <f>'roof solar'!E41*'space heating'!$C$31</f>
        <v>4</v>
      </c>
      <c r="R49" s="24">
        <f>Q49*$C$43/1000</f>
        <v>3.9</v>
      </c>
      <c r="S49" s="24">
        <f>R49*8760/1000*$C$45</f>
        <v>11.103300000000001</v>
      </c>
      <c r="T49" s="22">
        <f>K49+N49+Q49</f>
        <v>31.75</v>
      </c>
      <c r="U49" s="22">
        <f t="shared" si="0"/>
        <v>10.41375</v>
      </c>
      <c r="V49" s="22">
        <f t="shared" si="0"/>
        <v>25.718265000000002</v>
      </c>
    </row>
    <row r="50" spans="2:22">
      <c r="B50" s="1" t="s">
        <v>1065</v>
      </c>
      <c r="J50" t="s">
        <v>227</v>
      </c>
      <c r="K50" s="24">
        <f>'roof solar'!C42*'space heating'!$C$28</f>
        <v>15</v>
      </c>
      <c r="L50" s="24">
        <f>K50*$C$40/1000</f>
        <v>2.1749999999999998</v>
      </c>
      <c r="M50" s="24">
        <f>L50*8760/1000*$C$42</f>
        <v>3.8106000000000004</v>
      </c>
      <c r="N50" s="24">
        <f>'roof solar'!D42*'space heating'!$C$29</f>
        <v>2</v>
      </c>
      <c r="O50" s="24">
        <f>N50*$C$43/1000</f>
        <v>1.95</v>
      </c>
      <c r="P50" s="24">
        <f>O50*8760/1000*$C$45</f>
        <v>5.5516500000000004</v>
      </c>
      <c r="Q50" s="24">
        <f>'roof solar'!E42*'space heating'!$C$31</f>
        <v>0</v>
      </c>
      <c r="R50" s="24">
        <f>Q50*$C$43/1000</f>
        <v>0</v>
      </c>
      <c r="S50" s="24">
        <f>R50*8760/1000*$C$45</f>
        <v>0</v>
      </c>
      <c r="T50" s="22">
        <f>K50+N50+Q50</f>
        <v>17</v>
      </c>
      <c r="U50" s="22">
        <f t="shared" si="0"/>
        <v>4.125</v>
      </c>
      <c r="V50" s="22">
        <f t="shared" si="0"/>
        <v>9.3622500000000013</v>
      </c>
    </row>
    <row r="51" spans="2:22">
      <c r="B51" t="s">
        <v>1062</v>
      </c>
      <c r="C51">
        <f>AVERAGE(6,14)</f>
        <v>10</v>
      </c>
      <c r="D51" t="s">
        <v>48</v>
      </c>
      <c r="E51" t="s">
        <v>673</v>
      </c>
      <c r="J51" t="s">
        <v>627</v>
      </c>
      <c r="K51" s="24">
        <f>'roof solar'!C43*'space heating'!$C$28</f>
        <v>8.25</v>
      </c>
      <c r="L51" s="24">
        <f>K51*$C$40/1000</f>
        <v>1.19625</v>
      </c>
      <c r="M51" s="24">
        <f>L51*8760/1000*$C$42</f>
        <v>2.0958299999999999</v>
      </c>
      <c r="N51" s="24">
        <f>'roof solar'!D43*'space heating'!$C$29</f>
        <v>2</v>
      </c>
      <c r="O51" s="24">
        <f>N51*$C$43/1000</f>
        <v>1.95</v>
      </c>
      <c r="P51" s="24">
        <f>O51*8760/1000*$C$45</f>
        <v>5.5516500000000004</v>
      </c>
      <c r="Q51" s="24">
        <f>'roof solar'!E43*'space heating'!$C$31</f>
        <v>0</v>
      </c>
      <c r="R51" s="24">
        <f>Q51*$C$43/1000</f>
        <v>0</v>
      </c>
      <c r="S51" s="24">
        <f>R51*8760/1000*$C$45</f>
        <v>0</v>
      </c>
      <c r="T51" s="22">
        <f>K51+N51+Q51</f>
        <v>10.25</v>
      </c>
      <c r="U51" s="22">
        <f t="shared" si="0"/>
        <v>3.1462500000000002</v>
      </c>
      <c r="V51" s="22">
        <f t="shared" si="0"/>
        <v>7.6474799999999998</v>
      </c>
    </row>
    <row r="52" spans="2:22">
      <c r="B52" t="s">
        <v>162</v>
      </c>
      <c r="C52" s="6">
        <f>AVERAGE(260%,285%)</f>
        <v>2.7250000000000001</v>
      </c>
      <c r="E52" t="s">
        <v>673</v>
      </c>
      <c r="J52" t="s">
        <v>223</v>
      </c>
      <c r="K52" s="24">
        <f>'roof solar'!C44*'space heating'!$C$28</f>
        <v>54</v>
      </c>
      <c r="L52" s="24">
        <f>K52*$C$40/1000</f>
        <v>7.83</v>
      </c>
      <c r="M52" s="24">
        <f>L52*8760/1000*$C$42</f>
        <v>13.718160000000001</v>
      </c>
      <c r="N52" s="24">
        <f>'roof solar'!D44*'space heating'!$C$29</f>
        <v>11</v>
      </c>
      <c r="O52" s="24">
        <f>N52*$C$43/1000</f>
        <v>10.725</v>
      </c>
      <c r="P52" s="24">
        <f>O52*8760/1000*$C$45</f>
        <v>30.534074999999998</v>
      </c>
      <c r="Q52" s="24">
        <f>'roof solar'!E44*'space heating'!$C$31</f>
        <v>15</v>
      </c>
      <c r="R52" s="24">
        <f>Q52*$C$43/1000</f>
        <v>14.625</v>
      </c>
      <c r="S52" s="24">
        <f>R52*8760/1000*$C$45</f>
        <v>41.637375000000006</v>
      </c>
      <c r="T52" s="22">
        <f>K52+N52+Q52</f>
        <v>80</v>
      </c>
      <c r="U52" s="22">
        <f t="shared" si="0"/>
        <v>33.18</v>
      </c>
      <c r="V52" s="22">
        <f t="shared" si="0"/>
        <v>85.889610000000005</v>
      </c>
    </row>
    <row r="53" spans="2:22">
      <c r="B53" t="s">
        <v>668</v>
      </c>
      <c r="C53" s="122">
        <f>AVERAGE(10%,16%)</f>
        <v>0.13</v>
      </c>
      <c r="E53" t="s">
        <v>673</v>
      </c>
    </row>
    <row r="54" spans="2:22">
      <c r="B54" t="s">
        <v>1062</v>
      </c>
      <c r="C54">
        <v>55</v>
      </c>
      <c r="D54" t="s">
        <v>48</v>
      </c>
      <c r="E54" t="s">
        <v>1061</v>
      </c>
    </row>
    <row r="55" spans="2:22">
      <c r="B55" t="s">
        <v>162</v>
      </c>
      <c r="C55" s="6">
        <v>3.5</v>
      </c>
      <c r="E55" t="s">
        <v>1061</v>
      </c>
    </row>
    <row r="56" spans="2:22">
      <c r="B56" t="s">
        <v>668</v>
      </c>
      <c r="C56" s="6">
        <v>0.35</v>
      </c>
      <c r="E56" t="s">
        <v>1061</v>
      </c>
    </row>
    <row r="57" spans="2:22">
      <c r="B57" t="s">
        <v>1062</v>
      </c>
      <c r="C57">
        <v>300</v>
      </c>
      <c r="D57" t="s">
        <v>48</v>
      </c>
      <c r="E57" t="s">
        <v>1063</v>
      </c>
    </row>
    <row r="58" spans="2:22">
      <c r="B58" t="s">
        <v>162</v>
      </c>
      <c r="C58" s="6">
        <v>4</v>
      </c>
      <c r="E58" t="s">
        <v>1063</v>
      </c>
    </row>
    <row r="59" spans="2:22">
      <c r="B59" t="s">
        <v>668</v>
      </c>
      <c r="C59" s="6">
        <v>0.35</v>
      </c>
      <c r="E59" t="s">
        <v>1063</v>
      </c>
    </row>
    <row r="60" spans="2:22">
      <c r="B60" t="s">
        <v>1062</v>
      </c>
      <c r="C60">
        <v>300</v>
      </c>
      <c r="D60" t="s">
        <v>48</v>
      </c>
      <c r="E60" t="s">
        <v>1064</v>
      </c>
    </row>
    <row r="61" spans="2:22">
      <c r="B61" t="s">
        <v>162</v>
      </c>
      <c r="C61" s="6">
        <v>4</v>
      </c>
      <c r="E61" t="s">
        <v>1064</v>
      </c>
    </row>
    <row r="62" spans="2:22">
      <c r="B62" t="s">
        <v>668</v>
      </c>
      <c r="C62" s="6">
        <v>0.35</v>
      </c>
      <c r="E62" t="s">
        <v>1064</v>
      </c>
    </row>
    <row r="64" spans="2:22">
      <c r="B64" s="112" t="s">
        <v>73</v>
      </c>
      <c r="C64" s="155" t="s">
        <v>673</v>
      </c>
      <c r="D64" s="155"/>
      <c r="E64" s="155"/>
      <c r="F64" s="155" t="s">
        <v>657</v>
      </c>
      <c r="G64" s="155"/>
      <c r="H64" s="155"/>
      <c r="I64" s="156" t="s">
        <v>1057</v>
      </c>
      <c r="J64" s="157"/>
      <c r="K64" s="158"/>
      <c r="L64" s="155" t="s">
        <v>223</v>
      </c>
      <c r="M64" s="155"/>
      <c r="N64" s="155"/>
    </row>
    <row r="65" spans="2:14" ht="30">
      <c r="B65" s="112"/>
      <c r="C65" s="113" t="s">
        <v>230</v>
      </c>
      <c r="D65" s="113" t="s">
        <v>258</v>
      </c>
      <c r="E65" s="113" t="s">
        <v>236</v>
      </c>
      <c r="F65" s="113" t="s">
        <v>230</v>
      </c>
      <c r="G65" s="113" t="s">
        <v>258</v>
      </c>
      <c r="H65" s="113" t="s">
        <v>236</v>
      </c>
      <c r="I65" s="113" t="s">
        <v>230</v>
      </c>
      <c r="J65" s="113" t="s">
        <v>258</v>
      </c>
      <c r="K65" s="113" t="s">
        <v>236</v>
      </c>
      <c r="L65" s="113" t="s">
        <v>230</v>
      </c>
      <c r="M65" s="113" t="s">
        <v>258</v>
      </c>
      <c r="N65" s="113" t="s">
        <v>236</v>
      </c>
    </row>
    <row r="66" spans="2:14">
      <c r="B66" s="112" t="s">
        <v>59</v>
      </c>
      <c r="C66" s="114">
        <f>'space heat calcs'!AJ167</f>
        <v>15299.197432083361</v>
      </c>
      <c r="D66" s="114">
        <f>C66*$C$37/1000</f>
        <v>152.99197432083363</v>
      </c>
      <c r="E66" s="114">
        <f>D66*8760/1000*$C$39</f>
        <v>167.52621188131283</v>
      </c>
      <c r="F66" s="114">
        <f>'roof solar'!D31*'space heating'!$C$32</f>
        <v>33.5</v>
      </c>
      <c r="G66" s="114">
        <f>F66*$C$46/1000</f>
        <v>13.98625</v>
      </c>
      <c r="H66" s="114">
        <f>G66*8760/1000*$C$48</f>
        <v>62.484970500000003</v>
      </c>
      <c r="I66" s="114">
        <f>T48</f>
        <v>38</v>
      </c>
      <c r="J66" s="114">
        <f t="shared" ref="J66:K68" si="1">U48</f>
        <v>19.619999999999997</v>
      </c>
      <c r="K66" s="114">
        <f t="shared" si="1"/>
        <v>52.523865000000001</v>
      </c>
      <c r="L66" s="114">
        <f>C66+F66+I66</f>
        <v>15370.697432083361</v>
      </c>
      <c r="M66" s="114">
        <f t="shared" ref="M66:N69" si="2">D66+G66+J66</f>
        <v>186.59822432083365</v>
      </c>
      <c r="N66" s="114">
        <f t="shared" si="2"/>
        <v>282.53504738131284</v>
      </c>
    </row>
    <row r="67" spans="2:14">
      <c r="B67" s="112" t="s">
        <v>61</v>
      </c>
      <c r="C67" s="114">
        <f>'space heat calcs'!AL167</f>
        <v>10884.558976886932</v>
      </c>
      <c r="D67" s="114">
        <f>C67*$C$37/1000</f>
        <v>108.84558976886932</v>
      </c>
      <c r="E67" s="114">
        <f>D67*8760/1000*$C$39</f>
        <v>119.1859207969119</v>
      </c>
      <c r="F67" s="114">
        <f>'roof solar'!D32*'space heating'!$C$32</f>
        <v>16</v>
      </c>
      <c r="G67" s="114">
        <f>F67*$C$46/1000</f>
        <v>6.68</v>
      </c>
      <c r="H67" s="114">
        <f>G67*8760/1000*$C$48</f>
        <v>29.843567999999998</v>
      </c>
      <c r="I67" s="114">
        <f>T49</f>
        <v>31.75</v>
      </c>
      <c r="J67" s="114">
        <f t="shared" si="1"/>
        <v>10.41375</v>
      </c>
      <c r="K67" s="114">
        <f t="shared" si="1"/>
        <v>25.718265000000002</v>
      </c>
      <c r="L67" s="114">
        <f>C67+F67+I67</f>
        <v>10932.308976886932</v>
      </c>
      <c r="M67" s="114">
        <f t="shared" si="2"/>
        <v>125.9393397688693</v>
      </c>
      <c r="N67" s="114">
        <f t="shared" si="2"/>
        <v>174.74775379691189</v>
      </c>
    </row>
    <row r="68" spans="2:14">
      <c r="B68" s="112" t="s">
        <v>647</v>
      </c>
      <c r="C68" s="114">
        <f>'space heat calcs'!AN167</f>
        <v>7151.1442321113518</v>
      </c>
      <c r="D68" s="114">
        <f>C68*$C$37/1000</f>
        <v>71.51144232111352</v>
      </c>
      <c r="E68" s="114">
        <f>D68*8760/1000*$C$39</f>
        <v>78.305029341619303</v>
      </c>
      <c r="F68" s="114">
        <f>'roof solar'!D33*'space heating'!$C$32</f>
        <v>9.8284198979260324</v>
      </c>
      <c r="G68" s="114">
        <f>F68*$C$46/1000</f>
        <v>4.1033653073841183</v>
      </c>
      <c r="H68" s="114">
        <f>G68*8760/1000*$C$48</f>
        <v>18.332194847269285</v>
      </c>
      <c r="I68" s="114">
        <f>T50</f>
        <v>17</v>
      </c>
      <c r="J68" s="114">
        <f t="shared" si="1"/>
        <v>4.125</v>
      </c>
      <c r="K68" s="114">
        <f t="shared" si="1"/>
        <v>9.3622500000000013</v>
      </c>
      <c r="L68" s="114">
        <f>C68+F68+I68</f>
        <v>7177.9726520092781</v>
      </c>
      <c r="M68" s="114">
        <f t="shared" si="2"/>
        <v>79.739807628497644</v>
      </c>
      <c r="N68" s="114">
        <f t="shared" si="2"/>
        <v>105.99947418888858</v>
      </c>
    </row>
    <row r="69" spans="2:14">
      <c r="B69" s="112" t="s">
        <v>228</v>
      </c>
      <c r="C69" s="114">
        <f>C66+C67+'space heat calcs'!AP167</f>
        <v>28946.904194810311</v>
      </c>
      <c r="D69" s="114">
        <f>C69*$C$37/1000</f>
        <v>289.4690419481031</v>
      </c>
      <c r="E69" s="114">
        <f>D69*8760/1000*$C$39</f>
        <v>316.96860093317292</v>
      </c>
      <c r="F69" s="114">
        <f>'roof solar'!D35*'space heating'!$C$32</f>
        <v>55.316270584808528</v>
      </c>
      <c r="G69" s="114">
        <f>F69*$C$46/1000</f>
        <v>23.094542969157558</v>
      </c>
      <c r="H69" s="114">
        <f>G69*8760/1000*$C$48</f>
        <v>103.17718016900831</v>
      </c>
      <c r="I69" s="114">
        <f>T52</f>
        <v>80</v>
      </c>
      <c r="J69" s="114">
        <f>U52</f>
        <v>33.18</v>
      </c>
      <c r="K69" s="114">
        <f>V52</f>
        <v>85.889610000000005</v>
      </c>
      <c r="L69" s="114">
        <f>C69+F69+I69</f>
        <v>29082.220465395119</v>
      </c>
      <c r="M69" s="114">
        <f t="shared" si="2"/>
        <v>345.74358491726065</v>
      </c>
      <c r="N69" s="114">
        <f t="shared" si="2"/>
        <v>506.03539110218122</v>
      </c>
    </row>
    <row r="71" spans="2:14">
      <c r="B71" s="112" t="s">
        <v>1056</v>
      </c>
      <c r="C71" s="155" t="s">
        <v>673</v>
      </c>
      <c r="D71" s="155"/>
      <c r="E71" s="155"/>
      <c r="F71" s="155" t="s">
        <v>414</v>
      </c>
      <c r="G71" s="155"/>
      <c r="H71" s="155"/>
      <c r="I71" s="155" t="s">
        <v>223</v>
      </c>
      <c r="J71" s="155"/>
      <c r="K71" s="155"/>
    </row>
    <row r="72" spans="2:14" ht="30">
      <c r="B72" s="112"/>
      <c r="C72" s="113" t="s">
        <v>230</v>
      </c>
      <c r="D72" s="113" t="s">
        <v>258</v>
      </c>
      <c r="E72" s="113" t="s">
        <v>236</v>
      </c>
      <c r="F72" s="113" t="s">
        <v>230</v>
      </c>
      <c r="G72" s="113" t="s">
        <v>258</v>
      </c>
      <c r="H72" s="113" t="s">
        <v>236</v>
      </c>
      <c r="I72" s="113" t="s">
        <v>230</v>
      </c>
      <c r="J72" s="113" t="s">
        <v>258</v>
      </c>
      <c r="K72" s="113" t="s">
        <v>236</v>
      </c>
    </row>
    <row r="73" spans="2:14">
      <c r="B73" s="112" t="s">
        <v>59</v>
      </c>
      <c r="C73" s="114">
        <f>'space heat calcs'!AK167</f>
        <v>11597.28055849361</v>
      </c>
      <c r="D73" s="114">
        <f>C73*$C$51/1000</f>
        <v>115.97280558493611</v>
      </c>
      <c r="E73" s="114">
        <f>D73*8760/1000*$C$53</f>
        <v>132.06983100012525</v>
      </c>
      <c r="F73" s="114">
        <f>'roof solar'!C31*'space heating'!$C$30</f>
        <v>395</v>
      </c>
      <c r="G73" s="114">
        <f>F73*$C$54/1000</f>
        <v>21.725000000000001</v>
      </c>
      <c r="H73" s="114">
        <f>G73*8760/1000*$C$56</f>
        <v>66.608850000000004</v>
      </c>
      <c r="I73" s="114">
        <f>C73+F73</f>
        <v>11992.28055849361</v>
      </c>
      <c r="J73" s="114">
        <f t="shared" ref="J73:K76" si="3">D73+G73</f>
        <v>137.69780558493611</v>
      </c>
      <c r="K73" s="114">
        <f t="shared" si="3"/>
        <v>198.67868100012527</v>
      </c>
    </row>
    <row r="74" spans="2:14">
      <c r="B74" s="112" t="s">
        <v>61</v>
      </c>
      <c r="C74" s="114">
        <f>'space heat calcs'!AM167</f>
        <v>6521.318315250116</v>
      </c>
      <c r="D74" s="114">
        <f>C74*$C$51/1000</f>
        <v>65.213183152501159</v>
      </c>
      <c r="E74" s="114">
        <f>D74*8760/1000*$C$53</f>
        <v>74.264772974068322</v>
      </c>
      <c r="F74" s="114">
        <f>'roof solar'!C32*'space heating'!$C$30</f>
        <v>261</v>
      </c>
      <c r="G74" s="114">
        <f>F74*$C$54/1000</f>
        <v>14.355</v>
      </c>
      <c r="H74" s="114">
        <f>G74*8760/1000*$C$56</f>
        <v>44.012430000000002</v>
      </c>
      <c r="I74" s="114">
        <f>C74+F74</f>
        <v>6782.318315250116</v>
      </c>
      <c r="J74" s="114">
        <f t="shared" si="3"/>
        <v>79.568183152501163</v>
      </c>
      <c r="K74" s="114">
        <f t="shared" si="3"/>
        <v>118.27720297406833</v>
      </c>
    </row>
    <row r="75" spans="2:14">
      <c r="B75" s="112" t="s">
        <v>647</v>
      </c>
      <c r="C75" s="114">
        <f>'space heat calcs'!AP167</f>
        <v>2763.1477858400176</v>
      </c>
      <c r="D75" s="114">
        <f>C75*$C$51/1000</f>
        <v>27.631477858400174</v>
      </c>
      <c r="E75" s="114">
        <f>D75*8760/1000*$C$53</f>
        <v>31.466726985146121</v>
      </c>
      <c r="F75" s="114">
        <f>'roof solar'!C33*'space heating'!$C$30</f>
        <v>165.90688979760594</v>
      </c>
      <c r="G75" s="114">
        <f>F75*$C$54/1000</f>
        <v>9.1248789388683278</v>
      </c>
      <c r="H75" s="114">
        <f>G75*8760/1000*$C$56</f>
        <v>27.976878826570289</v>
      </c>
      <c r="I75" s="114">
        <f>C75+F75</f>
        <v>2929.0546756376234</v>
      </c>
      <c r="J75" s="114">
        <f t="shared" si="3"/>
        <v>36.756356797268502</v>
      </c>
      <c r="K75" s="114">
        <f t="shared" si="3"/>
        <v>59.443605811716409</v>
      </c>
    </row>
    <row r="76" spans="2:14">
      <c r="B76" s="112" t="s">
        <v>228</v>
      </c>
      <c r="C76" s="114">
        <f>C73+C74+'space heat calcs'!AQ167</f>
        <v>19972.109812856546</v>
      </c>
      <c r="D76" s="114">
        <f>C76*$C$51/1000</f>
        <v>199.72109812856547</v>
      </c>
      <c r="E76" s="114">
        <f>D76*8760/1000*$C$53</f>
        <v>227.44238654881039</v>
      </c>
      <c r="F76" s="114">
        <f>'roof solar'!C35*'space heating'!$C$30</f>
        <v>726.44352693718213</v>
      </c>
      <c r="G76" s="114">
        <f>F76*$C$54/1000</f>
        <v>39.954393981545017</v>
      </c>
      <c r="H76" s="114">
        <f>G76*8760/1000*$C$56</f>
        <v>122.500171947417</v>
      </c>
      <c r="I76" s="114">
        <f>C76+F76</f>
        <v>20698.553339793729</v>
      </c>
      <c r="J76" s="114">
        <f t="shared" si="3"/>
        <v>239.6754921101105</v>
      </c>
      <c r="K76" s="114">
        <f t="shared" si="3"/>
        <v>349.94255849622738</v>
      </c>
    </row>
    <row r="78" spans="2:14">
      <c r="B78" s="121" t="s">
        <v>1094</v>
      </c>
    </row>
  </sheetData>
  <mergeCells count="11">
    <mergeCell ref="C71:E71"/>
    <mergeCell ref="F71:H71"/>
    <mergeCell ref="I71:K71"/>
    <mergeCell ref="I64:K64"/>
    <mergeCell ref="K46:M46"/>
    <mergeCell ref="N46:P46"/>
    <mergeCell ref="Q46:S46"/>
    <mergeCell ref="T46:V46"/>
    <mergeCell ref="C64:E64"/>
    <mergeCell ref="F64:H64"/>
    <mergeCell ref="L64:N6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tabColor rgb="FF00B050"/>
  </sheetPr>
  <dimension ref="B1:W92"/>
  <sheetViews>
    <sheetView topLeftCell="A34" workbookViewId="0">
      <selection activeCell="C12" sqref="C12"/>
    </sheetView>
  </sheetViews>
  <sheetFormatPr defaultRowHeight="15"/>
  <cols>
    <col min="2" max="2" width="23.140625" customWidth="1"/>
  </cols>
  <sheetData>
    <row r="1" spans="2:16">
      <c r="B1" s="1" t="s">
        <v>628</v>
      </c>
    </row>
    <row r="2" spans="2:16" ht="240">
      <c r="C2" s="110" t="s">
        <v>615</v>
      </c>
      <c r="D2" s="110" t="s">
        <v>616</v>
      </c>
      <c r="E2" s="110" t="s">
        <v>617</v>
      </c>
      <c r="F2" s="110" t="s">
        <v>618</v>
      </c>
      <c r="G2" s="110" t="s">
        <v>619</v>
      </c>
      <c r="H2" s="110" t="s">
        <v>620</v>
      </c>
      <c r="I2" s="110" t="s">
        <v>621</v>
      </c>
      <c r="J2" s="110" t="s">
        <v>622</v>
      </c>
      <c r="K2" s="110" t="s">
        <v>623</v>
      </c>
      <c r="L2" s="110" t="s">
        <v>624</v>
      </c>
      <c r="M2" s="110" t="s">
        <v>625</v>
      </c>
      <c r="N2" s="110" t="s">
        <v>626</v>
      </c>
      <c r="P2" s="110" t="s">
        <v>678</v>
      </c>
    </row>
    <row r="3" spans="2:16">
      <c r="B3" t="s">
        <v>59</v>
      </c>
      <c r="C3" s="24">
        <v>36858</v>
      </c>
      <c r="D3" s="24">
        <v>36846</v>
      </c>
      <c r="E3" s="24">
        <v>32474</v>
      </c>
      <c r="F3" s="24">
        <v>14691</v>
      </c>
      <c r="G3" s="24">
        <v>10025</v>
      </c>
      <c r="H3" s="24">
        <v>7758</v>
      </c>
      <c r="I3" s="24">
        <v>4146</v>
      </c>
      <c r="J3" s="24">
        <v>2538</v>
      </c>
      <c r="K3" s="24">
        <v>1178</v>
      </c>
      <c r="L3" s="24">
        <v>430</v>
      </c>
      <c r="M3" s="24">
        <v>226</v>
      </c>
      <c r="N3" s="24">
        <v>12</v>
      </c>
      <c r="P3" s="22">
        <f>456.9+1650</f>
        <v>2106.9</v>
      </c>
    </row>
    <row r="4" spans="2:16">
      <c r="B4" t="s">
        <v>61</v>
      </c>
      <c r="C4" s="24">
        <v>22725</v>
      </c>
      <c r="D4" s="24">
        <v>22708</v>
      </c>
      <c r="E4" s="24">
        <v>20443</v>
      </c>
      <c r="F4" s="24">
        <v>9936</v>
      </c>
      <c r="G4" s="24">
        <v>5812</v>
      </c>
      <c r="H4" s="24">
        <v>4695</v>
      </c>
      <c r="I4" s="24">
        <v>2120</v>
      </c>
      <c r="J4" s="24">
        <v>1368</v>
      </c>
      <c r="K4" s="24">
        <v>487</v>
      </c>
      <c r="L4" s="24">
        <v>265</v>
      </c>
      <c r="M4" s="24">
        <v>145</v>
      </c>
      <c r="N4" s="24">
        <v>17</v>
      </c>
      <c r="P4">
        <f>(2026-2013)*220</f>
        <v>2860</v>
      </c>
    </row>
    <row r="5" spans="2:16">
      <c r="B5" t="s">
        <v>227</v>
      </c>
      <c r="C5" s="24">
        <v>14123.781571750409</v>
      </c>
      <c r="D5" s="24">
        <v>14116.250537267651</v>
      </c>
      <c r="E5" s="24">
        <v>12999.979313364045</v>
      </c>
      <c r="F5" s="24">
        <v>6273.3616092761431</v>
      </c>
      <c r="G5" s="24">
        <v>3612.8328495877677</v>
      </c>
      <c r="H5" s="24">
        <v>3113.7848545001325</v>
      </c>
      <c r="I5" s="24">
        <v>943.32436150838805</v>
      </c>
      <c r="J5" s="24">
        <v>445.82465483418201</v>
      </c>
      <c r="K5" s="24">
        <v>350.32536093182046</v>
      </c>
      <c r="L5" s="24">
        <v>147.17434574238544</v>
      </c>
      <c r="M5" s="24">
        <v>172.94686239522042</v>
      </c>
      <c r="N5" s="24">
        <v>7.5310344827586206</v>
      </c>
      <c r="P5">
        <f>(2026-2013)*50</f>
        <v>650</v>
      </c>
    </row>
    <row r="6" spans="2:16">
      <c r="B6" t="s">
        <v>627</v>
      </c>
      <c r="C6" s="24">
        <v>6183.5108337537413</v>
      </c>
      <c r="D6" s="24">
        <v>6177.5108337537413</v>
      </c>
      <c r="E6" s="24">
        <v>5598.3871381245472</v>
      </c>
      <c r="F6" s="24">
        <v>2519.0357567229294</v>
      </c>
      <c r="G6" s="24">
        <v>1478.9494313677444</v>
      </c>
      <c r="H6" s="24">
        <v>1600.4019500338727</v>
      </c>
      <c r="I6" s="24">
        <v>479.65549381158979</v>
      </c>
      <c r="J6" s="24">
        <v>211.76950251284046</v>
      </c>
      <c r="K6" s="24">
        <v>179.51311034877071</v>
      </c>
      <c r="L6" s="24">
        <v>88.372880949978608</v>
      </c>
      <c r="M6" s="24">
        <v>99.468201817605262</v>
      </c>
      <c r="N6" s="24">
        <v>6</v>
      </c>
    </row>
    <row r="7" spans="2:16">
      <c r="B7" t="s">
        <v>228</v>
      </c>
      <c r="C7" s="24">
        <v>65766.510833753739</v>
      </c>
      <c r="D7" s="24">
        <v>65731.510833753739</v>
      </c>
      <c r="E7" s="24">
        <v>58515.387138124548</v>
      </c>
      <c r="F7" s="24">
        <v>27146.035756722929</v>
      </c>
      <c r="G7" s="24">
        <v>17315.949431367746</v>
      </c>
      <c r="H7" s="24">
        <v>14053.401950033873</v>
      </c>
      <c r="I7" s="24">
        <v>6745.6554938115896</v>
      </c>
      <c r="J7" s="24">
        <v>4117.7695025128405</v>
      </c>
      <c r="K7" s="24">
        <v>1844.5131103487706</v>
      </c>
      <c r="L7" s="24">
        <v>783.37288094997859</v>
      </c>
      <c r="M7" s="24">
        <v>470.46820181760529</v>
      </c>
      <c r="N7" s="24">
        <v>35</v>
      </c>
      <c r="P7" s="22">
        <f>SUM(P3:P6)</f>
        <v>5616.9</v>
      </c>
    </row>
    <row r="10" spans="2:16">
      <c r="B10" s="1" t="s">
        <v>629</v>
      </c>
    </row>
    <row r="11" spans="2:16" s="10" customFormat="1" ht="75">
      <c r="B11" s="10" t="s">
        <v>630</v>
      </c>
      <c r="C11" s="10" t="s">
        <v>644</v>
      </c>
      <c r="D11" s="10" t="s">
        <v>645</v>
      </c>
      <c r="E11" s="10" t="s">
        <v>646</v>
      </c>
      <c r="F11" s="10" t="s">
        <v>656</v>
      </c>
      <c r="G11" s="10" t="s">
        <v>646</v>
      </c>
    </row>
    <row r="12" spans="2:16">
      <c r="B12" t="s">
        <v>634</v>
      </c>
      <c r="C12">
        <v>3.7459024219471053E-2</v>
      </c>
      <c r="D12">
        <v>285</v>
      </c>
      <c r="E12" s="22">
        <f>C12*D12</f>
        <v>10.67582190254925</v>
      </c>
      <c r="F12">
        <v>50</v>
      </c>
      <c r="G12" s="22">
        <f>C12*F12</f>
        <v>1.8729512109735527</v>
      </c>
    </row>
    <row r="13" spans="2:16">
      <c r="B13" t="s">
        <v>635</v>
      </c>
      <c r="C13">
        <v>0.6621363380851697</v>
      </c>
      <c r="D13">
        <v>455</v>
      </c>
      <c r="E13" s="22">
        <f t="shared" ref="E13:E24" si="0">C13*D13</f>
        <v>301.27203382875223</v>
      </c>
      <c r="F13">
        <v>25</v>
      </c>
      <c r="G13" s="22">
        <f t="shared" ref="G13:G24" si="1">C13*F13</f>
        <v>16.553408452129243</v>
      </c>
    </row>
    <row r="14" spans="2:16">
      <c r="B14" t="s">
        <v>636</v>
      </c>
      <c r="C14">
        <v>7.9368636742011903E-2</v>
      </c>
      <c r="D14">
        <v>345</v>
      </c>
      <c r="E14" s="22">
        <f t="shared" si="0"/>
        <v>27.382179675994106</v>
      </c>
      <c r="F14">
        <v>15</v>
      </c>
      <c r="G14" s="22">
        <f t="shared" si="1"/>
        <v>1.1905295511301786</v>
      </c>
    </row>
    <row r="15" spans="2:16">
      <c r="B15" t="s">
        <v>631</v>
      </c>
      <c r="C15">
        <v>0.92933608247422672</v>
      </c>
      <c r="D15">
        <v>365</v>
      </c>
      <c r="E15" s="22">
        <f t="shared" si="0"/>
        <v>339.20767010309277</v>
      </c>
      <c r="F15">
        <v>20</v>
      </c>
      <c r="G15" s="22">
        <f t="shared" si="1"/>
        <v>18.586721649484534</v>
      </c>
    </row>
    <row r="16" spans="2:16">
      <c r="B16" t="s">
        <v>637</v>
      </c>
      <c r="C16">
        <v>6.1333993726267112E-2</v>
      </c>
      <c r="D16">
        <v>300</v>
      </c>
      <c r="E16" s="22">
        <f t="shared" si="0"/>
        <v>18.400198117880134</v>
      </c>
      <c r="F16">
        <v>20</v>
      </c>
      <c r="G16" s="22">
        <f t="shared" si="1"/>
        <v>1.2266798745253422</v>
      </c>
    </row>
    <row r="17" spans="2:7">
      <c r="B17" t="s">
        <v>632</v>
      </c>
      <c r="C17">
        <v>0.18653508615902414</v>
      </c>
      <c r="D17">
        <v>390</v>
      </c>
      <c r="E17" s="22">
        <f t="shared" si="0"/>
        <v>72.748683602019412</v>
      </c>
      <c r="F17">
        <v>55</v>
      </c>
      <c r="G17" s="22">
        <f t="shared" si="1"/>
        <v>10.259429738746327</v>
      </c>
    </row>
    <row r="18" spans="2:7">
      <c r="B18" t="s">
        <v>633</v>
      </c>
      <c r="C18">
        <v>0.89664483447329368</v>
      </c>
      <c r="D18">
        <v>340</v>
      </c>
      <c r="E18" s="22">
        <f t="shared" si="0"/>
        <v>304.85924372091984</v>
      </c>
      <c r="F18">
        <v>30</v>
      </c>
      <c r="G18" s="22">
        <f t="shared" si="1"/>
        <v>26.899345034198809</v>
      </c>
    </row>
    <row r="19" spans="2:7">
      <c r="B19" t="s">
        <v>638</v>
      </c>
      <c r="C19">
        <v>6.4232381033419134E-2</v>
      </c>
      <c r="D19">
        <v>310</v>
      </c>
      <c r="E19" s="22">
        <f t="shared" si="0"/>
        <v>19.912038120359931</v>
      </c>
      <c r="F19">
        <v>20</v>
      </c>
      <c r="G19" s="22">
        <f t="shared" si="1"/>
        <v>1.2846476206683826</v>
      </c>
    </row>
    <row r="20" spans="2:7">
      <c r="B20" t="s">
        <v>639</v>
      </c>
      <c r="C20">
        <v>0.86940006973555295</v>
      </c>
      <c r="D20">
        <v>420</v>
      </c>
      <c r="E20" s="22">
        <f t="shared" si="0"/>
        <v>365.14802928893226</v>
      </c>
      <c r="F20">
        <v>15</v>
      </c>
      <c r="G20" s="22">
        <f t="shared" si="1"/>
        <v>13.041001046033294</v>
      </c>
    </row>
    <row r="21" spans="2:7">
      <c r="B21" t="s">
        <v>640</v>
      </c>
      <c r="C21">
        <v>1.2798601820417444E-2</v>
      </c>
      <c r="D21">
        <v>510</v>
      </c>
      <c r="E21" s="22">
        <f t="shared" si="0"/>
        <v>6.527286928412896</v>
      </c>
      <c r="F21">
        <v>30</v>
      </c>
      <c r="G21" s="22">
        <f t="shared" si="1"/>
        <v>0.3839580546125233</v>
      </c>
    </row>
    <row r="22" spans="2:7">
      <c r="B22" t="s">
        <v>641</v>
      </c>
      <c r="C22">
        <v>1.2159394519126681E-2</v>
      </c>
      <c r="D22">
        <v>470</v>
      </c>
      <c r="E22" s="22">
        <f t="shared" si="0"/>
        <v>5.7149154239895399</v>
      </c>
      <c r="F22">
        <v>35</v>
      </c>
      <c r="G22" s="22">
        <f t="shared" si="1"/>
        <v>0.42557880816943383</v>
      </c>
    </row>
    <row r="23" spans="2:7">
      <c r="B23" t="s">
        <v>642</v>
      </c>
      <c r="C23">
        <v>0.95889564127840432</v>
      </c>
      <c r="D23">
        <v>260</v>
      </c>
      <c r="E23" s="22">
        <f t="shared" si="0"/>
        <v>249.31286673238512</v>
      </c>
      <c r="F23">
        <v>5</v>
      </c>
      <c r="G23" s="22">
        <f t="shared" si="1"/>
        <v>4.7944782063920215</v>
      </c>
    </row>
    <row r="24" spans="2:7">
      <c r="B24" t="s">
        <v>643</v>
      </c>
      <c r="C24">
        <v>0.17654697321966761</v>
      </c>
      <c r="D24">
        <v>205</v>
      </c>
      <c r="E24" s="22">
        <f t="shared" si="0"/>
        <v>36.192129510031862</v>
      </c>
      <c r="F24">
        <v>10</v>
      </c>
      <c r="G24" s="22">
        <f t="shared" si="1"/>
        <v>1.7654697321966761</v>
      </c>
    </row>
    <row r="25" spans="2:7">
      <c r="B25" t="s">
        <v>647</v>
      </c>
      <c r="E25" s="22">
        <f>SUM(E12:E24)</f>
        <v>1757.3530969553196</v>
      </c>
      <c r="G25" s="22">
        <f>SUM(G12:G24)</f>
        <v>98.284198979260324</v>
      </c>
    </row>
    <row r="27" spans="2:7">
      <c r="B27" t="s">
        <v>59</v>
      </c>
      <c r="C27">
        <v>4285</v>
      </c>
      <c r="E27" s="22"/>
      <c r="F27">
        <v>335</v>
      </c>
    </row>
    <row r="28" spans="2:7">
      <c r="B28" t="s">
        <v>61</v>
      </c>
      <c r="C28">
        <v>2770</v>
      </c>
      <c r="E28" s="22"/>
      <c r="F28">
        <v>160</v>
      </c>
    </row>
    <row r="29" spans="2:7">
      <c r="E29" s="22"/>
    </row>
    <row r="30" spans="2:7">
      <c r="C30" t="s">
        <v>414</v>
      </c>
      <c r="D30" t="s">
        <v>657</v>
      </c>
      <c r="E30" s="22"/>
    </row>
    <row r="31" spans="2:7">
      <c r="B31" t="s">
        <v>59</v>
      </c>
      <c r="C31">
        <f>C27-F27</f>
        <v>3950</v>
      </c>
      <c r="D31">
        <f>F27</f>
        <v>335</v>
      </c>
    </row>
    <row r="32" spans="2:7">
      <c r="B32" t="s">
        <v>61</v>
      </c>
      <c r="C32">
        <f>C28-F28</f>
        <v>2610</v>
      </c>
      <c r="D32">
        <f>F28</f>
        <v>160</v>
      </c>
    </row>
    <row r="33" spans="2:18">
      <c r="B33" t="s">
        <v>647</v>
      </c>
      <c r="C33" s="22">
        <f>E25-G25</f>
        <v>1659.0688979760594</v>
      </c>
      <c r="D33" s="22">
        <f>G25</f>
        <v>98.284198979260324</v>
      </c>
    </row>
    <row r="34" spans="2:18">
      <c r="B34" t="s">
        <v>627</v>
      </c>
      <c r="C34" s="22">
        <f>SUM(E14:E18)-D34</f>
        <v>704.43526937182094</v>
      </c>
      <c r="D34" s="22">
        <f>SUM(G14:G18)</f>
        <v>58.162705848085196</v>
      </c>
    </row>
    <row r="35" spans="2:18">
      <c r="B35" t="s">
        <v>228</v>
      </c>
      <c r="C35" s="22">
        <f>C31+C32+C34</f>
        <v>7264.4352693718211</v>
      </c>
      <c r="D35" s="22">
        <f>D31+D32+D34</f>
        <v>553.16270584808524</v>
      </c>
    </row>
    <row r="37" spans="2:18">
      <c r="B37" s="1" t="s">
        <v>1082</v>
      </c>
      <c r="G37" t="s">
        <v>1087</v>
      </c>
    </row>
    <row r="38" spans="2:18">
      <c r="C38" t="s">
        <v>1083</v>
      </c>
      <c r="D38" t="s">
        <v>1083</v>
      </c>
      <c r="G38" s="159" t="s">
        <v>1084</v>
      </c>
      <c r="H38" s="159"/>
      <c r="I38" s="159"/>
      <c r="J38" s="159" t="s">
        <v>1085</v>
      </c>
      <c r="K38" s="159"/>
      <c r="L38" s="159"/>
      <c r="M38" s="159" t="s">
        <v>1086</v>
      </c>
      <c r="N38" s="159"/>
      <c r="O38" s="159"/>
      <c r="P38" s="159" t="s">
        <v>223</v>
      </c>
      <c r="Q38" s="159"/>
      <c r="R38" s="159"/>
    </row>
    <row r="39" spans="2:18" s="10" customFormat="1" ht="75">
      <c r="C39" s="12" t="s">
        <v>1084</v>
      </c>
      <c r="D39" s="12" t="s">
        <v>1085</v>
      </c>
      <c r="E39" s="12" t="s">
        <v>1086</v>
      </c>
      <c r="G39" s="10" t="s">
        <v>230</v>
      </c>
      <c r="H39" s="10" t="s">
        <v>229</v>
      </c>
      <c r="I39" s="10" t="s">
        <v>236</v>
      </c>
      <c r="J39" s="10" t="s">
        <v>230</v>
      </c>
      <c r="K39" s="10" t="s">
        <v>229</v>
      </c>
      <c r="L39" s="10" t="s">
        <v>236</v>
      </c>
      <c r="M39" s="10" t="s">
        <v>230</v>
      </c>
      <c r="N39" s="10" t="s">
        <v>229</v>
      </c>
      <c r="O39" s="10" t="s">
        <v>236</v>
      </c>
      <c r="P39" s="10" t="s">
        <v>230</v>
      </c>
      <c r="Q39" s="10" t="s">
        <v>229</v>
      </c>
      <c r="R39" s="10" t="s">
        <v>236</v>
      </c>
    </row>
    <row r="40" spans="2:18">
      <c r="B40" t="s">
        <v>59</v>
      </c>
      <c r="C40" s="109">
        <v>28</v>
      </c>
      <c r="D40" s="109">
        <v>6</v>
      </c>
      <c r="E40" s="109">
        <v>11</v>
      </c>
      <c r="G40">
        <f>C40</f>
        <v>28</v>
      </c>
      <c r="H40">
        <f>G40*$C$68</f>
        <v>280</v>
      </c>
      <c r="I40" s="26">
        <f>H40*$C$71/1000000</f>
        <v>0.26851999999999998</v>
      </c>
      <c r="J40">
        <f>D40</f>
        <v>6</v>
      </c>
      <c r="K40">
        <f>J40*$C$69</f>
        <v>120</v>
      </c>
      <c r="L40" s="26">
        <f>K40*$C$71/1000000</f>
        <v>0.11508</v>
      </c>
      <c r="M40">
        <f>E40</f>
        <v>11</v>
      </c>
      <c r="N40">
        <f>M40*$C$70</f>
        <v>220</v>
      </c>
      <c r="O40" s="26">
        <f>N40*$C$71/1000000</f>
        <v>0.21098</v>
      </c>
      <c r="P40">
        <f>G40+J40+M40</f>
        <v>45</v>
      </c>
      <c r="Q40">
        <f t="shared" ref="Q40:R44" si="2">H40+K40+N40</f>
        <v>620</v>
      </c>
      <c r="R40" s="26">
        <f t="shared" si="2"/>
        <v>0.59458</v>
      </c>
    </row>
    <row r="41" spans="2:18">
      <c r="B41" t="s">
        <v>61</v>
      </c>
      <c r="C41" s="109">
        <v>33</v>
      </c>
      <c r="D41" s="109">
        <v>3</v>
      </c>
      <c r="E41" s="109">
        <v>4</v>
      </c>
      <c r="G41">
        <f>C41</f>
        <v>33</v>
      </c>
      <c r="H41">
        <f>G41*$C$68</f>
        <v>330</v>
      </c>
      <c r="I41" s="26">
        <f>H41*$C$71/1000000</f>
        <v>0.31646999999999997</v>
      </c>
      <c r="J41">
        <f>D41</f>
        <v>3</v>
      </c>
      <c r="K41">
        <f>J41*$C$69</f>
        <v>60</v>
      </c>
      <c r="L41" s="26">
        <f>K41*$C$71/1000000</f>
        <v>5.7540000000000001E-2</v>
      </c>
      <c r="M41">
        <f>E41</f>
        <v>4</v>
      </c>
      <c r="N41">
        <f>M41*$C$70</f>
        <v>80</v>
      </c>
      <c r="O41" s="26">
        <f>N41*$C$71/1000000</f>
        <v>7.6719999999999997E-2</v>
      </c>
      <c r="P41">
        <f>G41+J41+M41</f>
        <v>40</v>
      </c>
      <c r="Q41">
        <f t="shared" si="2"/>
        <v>470</v>
      </c>
      <c r="R41" s="26">
        <f t="shared" si="2"/>
        <v>0.45072999999999996</v>
      </c>
    </row>
    <row r="42" spans="2:18">
      <c r="B42" t="s">
        <v>227</v>
      </c>
      <c r="C42" s="109">
        <v>20</v>
      </c>
      <c r="D42" s="109">
        <v>2</v>
      </c>
      <c r="E42" s="109">
        <v>0</v>
      </c>
      <c r="G42">
        <f>C42</f>
        <v>20</v>
      </c>
      <c r="H42">
        <f>G42*$C$68</f>
        <v>200</v>
      </c>
      <c r="I42" s="26">
        <f>H42*$C$71/1000000</f>
        <v>0.1918</v>
      </c>
      <c r="J42">
        <f>D42</f>
        <v>2</v>
      </c>
      <c r="K42">
        <f>J42*$C$69</f>
        <v>40</v>
      </c>
      <c r="L42" s="26">
        <f>K42*$C$71/1000000</f>
        <v>3.8359999999999998E-2</v>
      </c>
      <c r="M42">
        <f>E42</f>
        <v>0</v>
      </c>
      <c r="N42">
        <f>M42*$C$70</f>
        <v>0</v>
      </c>
      <c r="O42" s="26">
        <f>N42*$C$71/1000000</f>
        <v>0</v>
      </c>
      <c r="P42">
        <f>G42+J42+M42</f>
        <v>22</v>
      </c>
      <c r="Q42">
        <f t="shared" si="2"/>
        <v>240</v>
      </c>
      <c r="R42" s="26">
        <f t="shared" si="2"/>
        <v>0.23016</v>
      </c>
    </row>
    <row r="43" spans="2:18">
      <c r="B43" t="s">
        <v>627</v>
      </c>
      <c r="C43" s="109">
        <v>11</v>
      </c>
      <c r="D43" s="109">
        <v>2</v>
      </c>
      <c r="E43" s="109">
        <v>0</v>
      </c>
      <c r="G43">
        <f>C43</f>
        <v>11</v>
      </c>
      <c r="H43">
        <f>G43*$C$68</f>
        <v>110</v>
      </c>
      <c r="I43" s="26">
        <f>H43*$C$71/1000000</f>
        <v>0.10549</v>
      </c>
      <c r="J43">
        <f>D43</f>
        <v>2</v>
      </c>
      <c r="K43">
        <f>J43*$C$69</f>
        <v>40</v>
      </c>
      <c r="L43" s="26">
        <f>K43*$C$71/1000000</f>
        <v>3.8359999999999998E-2</v>
      </c>
      <c r="M43">
        <f>E43</f>
        <v>0</v>
      </c>
      <c r="N43">
        <f>M43*$C$70</f>
        <v>0</v>
      </c>
      <c r="O43" s="26">
        <f>N43*$C$71/1000000</f>
        <v>0</v>
      </c>
      <c r="P43">
        <f>G43+J43+M43</f>
        <v>13</v>
      </c>
      <c r="Q43">
        <f t="shared" si="2"/>
        <v>150</v>
      </c>
      <c r="R43" s="26">
        <f t="shared" si="2"/>
        <v>0.14385000000000001</v>
      </c>
    </row>
    <row r="44" spans="2:18">
      <c r="B44" t="s">
        <v>223</v>
      </c>
      <c r="C44" s="109">
        <v>72</v>
      </c>
      <c r="D44" s="109">
        <v>11</v>
      </c>
      <c r="E44" s="109">
        <v>15</v>
      </c>
      <c r="G44">
        <f>C44</f>
        <v>72</v>
      </c>
      <c r="H44">
        <f>G44*$C$68</f>
        <v>720</v>
      </c>
      <c r="I44" s="26">
        <f>H44*$C$71/1000000</f>
        <v>0.69047999999999998</v>
      </c>
      <c r="J44">
        <f>D44</f>
        <v>11</v>
      </c>
      <c r="K44">
        <f>J44*$C$69</f>
        <v>220</v>
      </c>
      <c r="L44" s="26">
        <f>K44*$C$71/1000000</f>
        <v>0.21098</v>
      </c>
      <c r="M44">
        <f>E44</f>
        <v>15</v>
      </c>
      <c r="N44">
        <f>M44*$C$70</f>
        <v>300</v>
      </c>
      <c r="O44" s="26">
        <f>N44*$C$71/1000000</f>
        <v>0.28770000000000001</v>
      </c>
      <c r="P44">
        <f>G44+J44+M44</f>
        <v>98</v>
      </c>
      <c r="Q44">
        <f t="shared" si="2"/>
        <v>1240</v>
      </c>
      <c r="R44" s="26">
        <f t="shared" si="2"/>
        <v>1.18916</v>
      </c>
    </row>
    <row r="47" spans="2:18">
      <c r="B47" s="1" t="s">
        <v>648</v>
      </c>
    </row>
    <row r="49" spans="2:9">
      <c r="B49" s="23" t="s">
        <v>649</v>
      </c>
    </row>
    <row r="50" spans="2:9">
      <c r="B50" s="23" t="s">
        <v>650</v>
      </c>
      <c r="C50" s="23" t="s">
        <v>651</v>
      </c>
      <c r="D50" s="23" t="s">
        <v>652</v>
      </c>
      <c r="E50" s="23" t="s">
        <v>4</v>
      </c>
    </row>
    <row r="51" spans="2:9">
      <c r="B51" s="111" t="s">
        <v>653</v>
      </c>
    </row>
    <row r="52" spans="2:9">
      <c r="B52" t="s">
        <v>654</v>
      </c>
      <c r="C52" s="6">
        <v>0.25</v>
      </c>
      <c r="D52" t="s">
        <v>658</v>
      </c>
      <c r="E52" t="s">
        <v>659</v>
      </c>
    </row>
    <row r="53" spans="2:9">
      <c r="B53" t="s">
        <v>655</v>
      </c>
      <c r="C53" s="6">
        <v>0.4</v>
      </c>
      <c r="D53" t="s">
        <v>661</v>
      </c>
      <c r="E53" t="s">
        <v>659</v>
      </c>
    </row>
    <row r="54" spans="2:9">
      <c r="B54" t="s">
        <v>665</v>
      </c>
      <c r="C54" s="6">
        <v>0.8</v>
      </c>
      <c r="D54" t="s">
        <v>660</v>
      </c>
      <c r="E54" t="s">
        <v>659</v>
      </c>
    </row>
    <row r="55" spans="2:9">
      <c r="B55" t="s">
        <v>662</v>
      </c>
      <c r="C55" s="22">
        <v>2</v>
      </c>
      <c r="D55" t="s">
        <v>48</v>
      </c>
      <c r="E55" t="s">
        <v>659</v>
      </c>
    </row>
    <row r="56" spans="2:9">
      <c r="B56" t="s">
        <v>663</v>
      </c>
      <c r="C56" s="22">
        <v>0</v>
      </c>
      <c r="D56" t="s">
        <v>48</v>
      </c>
      <c r="E56" t="s">
        <v>659</v>
      </c>
    </row>
    <row r="57" spans="2:9">
      <c r="B57" t="s">
        <v>664</v>
      </c>
      <c r="C57" s="22">
        <v>10</v>
      </c>
      <c r="D57" t="s">
        <v>48</v>
      </c>
      <c r="E57" t="s">
        <v>659</v>
      </c>
    </row>
    <row r="58" spans="2:9">
      <c r="B58" t="s">
        <v>668</v>
      </c>
      <c r="C58" s="6">
        <v>0.08</v>
      </c>
      <c r="E58" t="s">
        <v>674</v>
      </c>
    </row>
    <row r="60" spans="2:9">
      <c r="B60" s="111" t="s">
        <v>669</v>
      </c>
    </row>
    <row r="61" spans="2:9">
      <c r="B61" t="s">
        <v>654</v>
      </c>
      <c r="C61" s="6">
        <v>0.25</v>
      </c>
      <c r="D61" t="s">
        <v>658</v>
      </c>
      <c r="E61" t="s">
        <v>659</v>
      </c>
    </row>
    <row r="62" spans="2:9">
      <c r="B62" t="s">
        <v>655</v>
      </c>
      <c r="C62" s="6">
        <v>0.4</v>
      </c>
      <c r="D62" t="s">
        <v>661</v>
      </c>
      <c r="E62" t="s">
        <v>659</v>
      </c>
    </row>
    <row r="63" spans="2:9">
      <c r="B63" t="s">
        <v>665</v>
      </c>
      <c r="C63" s="6">
        <v>0.8</v>
      </c>
      <c r="D63" t="s">
        <v>660</v>
      </c>
      <c r="E63" t="s">
        <v>659</v>
      </c>
    </row>
    <row r="64" spans="2:9">
      <c r="B64" t="s">
        <v>666</v>
      </c>
      <c r="C64" s="6">
        <v>0.5</v>
      </c>
      <c r="D64" t="s">
        <v>667</v>
      </c>
      <c r="E64" t="s">
        <v>659</v>
      </c>
      <c r="I64" t="s">
        <v>679</v>
      </c>
    </row>
    <row r="65" spans="2:21">
      <c r="B65" t="s">
        <v>662</v>
      </c>
      <c r="C65" s="22">
        <v>2</v>
      </c>
      <c r="D65" t="s">
        <v>48</v>
      </c>
      <c r="E65" t="s">
        <v>659</v>
      </c>
    </row>
    <row r="66" spans="2:21">
      <c r="B66" t="s">
        <v>663</v>
      </c>
      <c r="C66" s="22">
        <v>5</v>
      </c>
      <c r="D66" t="s">
        <v>48</v>
      </c>
      <c r="E66" t="s">
        <v>659</v>
      </c>
    </row>
    <row r="67" spans="2:21">
      <c r="B67" t="s">
        <v>664</v>
      </c>
      <c r="C67" s="22">
        <v>10</v>
      </c>
      <c r="D67" t="s">
        <v>48</v>
      </c>
      <c r="E67" t="s">
        <v>659</v>
      </c>
    </row>
    <row r="68" spans="2:21">
      <c r="B68" t="s">
        <v>1068</v>
      </c>
      <c r="C68" s="22">
        <v>10</v>
      </c>
      <c r="D68" t="s">
        <v>48</v>
      </c>
      <c r="E68" t="s">
        <v>1071</v>
      </c>
    </row>
    <row r="69" spans="2:21">
      <c r="B69" t="s">
        <v>1069</v>
      </c>
      <c r="C69" s="22">
        <v>20</v>
      </c>
      <c r="D69" t="s">
        <v>48</v>
      </c>
      <c r="E69" t="s">
        <v>1072</v>
      </c>
    </row>
    <row r="70" spans="2:21">
      <c r="B70" t="s">
        <v>1070</v>
      </c>
      <c r="C70" s="22">
        <v>20</v>
      </c>
      <c r="D70" t="s">
        <v>48</v>
      </c>
      <c r="E70" t="s">
        <v>1073</v>
      </c>
    </row>
    <row r="71" spans="2:21">
      <c r="B71" t="s">
        <v>670</v>
      </c>
      <c r="C71">
        <f>pv!C151</f>
        <v>959</v>
      </c>
      <c r="D71" t="s">
        <v>671</v>
      </c>
      <c r="E71" t="s">
        <v>672</v>
      </c>
    </row>
    <row r="73" spans="2:21">
      <c r="B73" s="112" t="s">
        <v>653</v>
      </c>
      <c r="C73" s="155" t="s">
        <v>673</v>
      </c>
      <c r="D73" s="155"/>
      <c r="E73" s="155"/>
      <c r="F73" s="155" t="s">
        <v>657</v>
      </c>
      <c r="G73" s="155"/>
      <c r="H73" s="155"/>
      <c r="I73" s="155" t="s">
        <v>223</v>
      </c>
      <c r="J73" s="155"/>
      <c r="K73" s="155"/>
      <c r="M73" s="155" t="s">
        <v>675</v>
      </c>
      <c r="N73" s="155"/>
      <c r="O73" s="155"/>
    </row>
    <row r="74" spans="2:21" ht="30">
      <c r="B74" s="112"/>
      <c r="C74" s="113" t="s">
        <v>230</v>
      </c>
      <c r="D74" s="113" t="s">
        <v>258</v>
      </c>
      <c r="E74" s="113" t="s">
        <v>236</v>
      </c>
      <c r="F74" s="113" t="s">
        <v>230</v>
      </c>
      <c r="G74" s="113" t="s">
        <v>258</v>
      </c>
      <c r="H74" s="113" t="s">
        <v>236</v>
      </c>
      <c r="I74" s="113" t="s">
        <v>230</v>
      </c>
      <c r="J74" s="113" t="s">
        <v>258</v>
      </c>
      <c r="K74" s="113" t="s">
        <v>236</v>
      </c>
      <c r="M74" s="113" t="s">
        <v>230</v>
      </c>
      <c r="N74" s="113" t="s">
        <v>229</v>
      </c>
      <c r="O74" s="113" t="s">
        <v>676</v>
      </c>
    </row>
    <row r="75" spans="2:21">
      <c r="B75" s="112" t="s">
        <v>59</v>
      </c>
      <c r="C75" s="114">
        <f>C3*$C$52</f>
        <v>9214.5</v>
      </c>
      <c r="D75" s="114">
        <f>C75*$C$55/1000</f>
        <v>18.428999999999998</v>
      </c>
      <c r="E75" s="114">
        <f>D75*8760/1000*$C$58</f>
        <v>12.915043199999998</v>
      </c>
      <c r="F75" s="114">
        <f>D31*$C$54</f>
        <v>268</v>
      </c>
      <c r="G75" s="114">
        <f>F75*$C$57/1000</f>
        <v>2.68</v>
      </c>
      <c r="H75" s="114">
        <f>G75*8760/1000*$C$58</f>
        <v>1.8781440000000005</v>
      </c>
      <c r="I75" s="114">
        <f>C75+F75</f>
        <v>9482.5</v>
      </c>
      <c r="J75" s="114">
        <f>D75+G75</f>
        <v>21.108999999999998</v>
      </c>
      <c r="K75" s="114">
        <f>E75+H75</f>
        <v>14.793187199999998</v>
      </c>
      <c r="M75" s="114">
        <f>'RegenSW 2012 survey'!AB7</f>
        <v>68</v>
      </c>
      <c r="N75" s="120">
        <f>'RegenSW 2012 survey'!AC7</f>
        <v>0.19400000000000001</v>
      </c>
      <c r="O75" s="115">
        <f>N75/J75</f>
        <v>9.1903927234828764E-3</v>
      </c>
    </row>
    <row r="76" spans="2:21">
      <c r="B76" s="112" t="s">
        <v>61</v>
      </c>
      <c r="C76" s="114">
        <f>C4*$C$52</f>
        <v>5681.25</v>
      </c>
      <c r="D76" s="114">
        <f>C76*$C$55/1000</f>
        <v>11.362500000000001</v>
      </c>
      <c r="E76" s="114">
        <f>D76*8760/1000*$C$58</f>
        <v>7.9628399999999999</v>
      </c>
      <c r="F76" s="114">
        <f>D32*$C$54</f>
        <v>128</v>
      </c>
      <c r="G76" s="114">
        <f>F76*$C$57/1000</f>
        <v>1.28</v>
      </c>
      <c r="H76" s="114">
        <f>G76*8760/1000*$C$58</f>
        <v>0.89702400000000015</v>
      </c>
      <c r="I76" s="114">
        <f>C76+F76</f>
        <v>5809.25</v>
      </c>
      <c r="J76" s="114">
        <f t="shared" ref="J76:K78" si="3">D76+G76</f>
        <v>12.6425</v>
      </c>
      <c r="K76" s="114">
        <f t="shared" si="3"/>
        <v>8.859864</v>
      </c>
      <c r="M76" s="114">
        <f>'RegenSW 2012 survey'!AB9</f>
        <v>56</v>
      </c>
      <c r="N76" s="120">
        <f>'RegenSW 2012 survey'!AC9</f>
        <v>0.17899999999999999</v>
      </c>
      <c r="O76" s="115">
        <f>N76/J76</f>
        <v>1.4158592050622898E-2</v>
      </c>
    </row>
    <row r="77" spans="2:21">
      <c r="B77" s="112" t="s">
        <v>647</v>
      </c>
      <c r="C77" s="114">
        <f>C5*$C$52</f>
        <v>3530.9453929376023</v>
      </c>
      <c r="D77" s="114">
        <f>C77*$C$55/1000</f>
        <v>7.0618907858752049</v>
      </c>
      <c r="E77" s="114">
        <f>D77*8760/1000*$C$58</f>
        <v>4.9489730627413442</v>
      </c>
      <c r="F77" s="114">
        <f>D33*$C$54</f>
        <v>78.627359183408259</v>
      </c>
      <c r="G77" s="114">
        <f>F77*$C$57/1000</f>
        <v>0.78627359183408263</v>
      </c>
      <c r="H77" s="114">
        <f>G77*8760/1000*$C$58</f>
        <v>0.55102053315732513</v>
      </c>
      <c r="I77" s="114">
        <f>C77+F77</f>
        <v>3609.5727521210106</v>
      </c>
      <c r="J77" s="114">
        <f t="shared" si="3"/>
        <v>7.8481643777092875</v>
      </c>
      <c r="K77" s="114">
        <f t="shared" si="3"/>
        <v>5.499993595898669</v>
      </c>
      <c r="M77" s="114"/>
      <c r="N77" s="114"/>
      <c r="O77" s="114"/>
    </row>
    <row r="78" spans="2:21">
      <c r="B78" s="112" t="s">
        <v>228</v>
      </c>
      <c r="C78" s="114">
        <f>C7*$C$52</f>
        <v>16441.627708438435</v>
      </c>
      <c r="D78" s="114">
        <f>C78*$C$55/1000</f>
        <v>32.883255416876871</v>
      </c>
      <c r="E78" s="114">
        <f>D78*8760/1000*$C$58</f>
        <v>23.044585396147308</v>
      </c>
      <c r="F78" s="114">
        <f>D35*$C$54</f>
        <v>442.53016467846822</v>
      </c>
      <c r="G78" s="114">
        <f>F78*$C$57/1000</f>
        <v>4.425301646784682</v>
      </c>
      <c r="H78" s="114">
        <f>G78*8760/1000*$C$58</f>
        <v>3.1012513940667055</v>
      </c>
      <c r="I78" s="114">
        <f>C78+F78</f>
        <v>16884.157873116903</v>
      </c>
      <c r="J78" s="114">
        <f t="shared" si="3"/>
        <v>37.308557063661553</v>
      </c>
      <c r="K78" s="114">
        <f t="shared" si="3"/>
        <v>26.145836790214013</v>
      </c>
      <c r="M78" s="114"/>
      <c r="N78" s="114"/>
      <c r="O78" s="114"/>
    </row>
    <row r="79" spans="2:21">
      <c r="B79" s="1"/>
    </row>
    <row r="80" spans="2:21">
      <c r="B80" s="112" t="s">
        <v>669</v>
      </c>
      <c r="C80" s="155" t="s">
        <v>673</v>
      </c>
      <c r="D80" s="155"/>
      <c r="E80" s="155"/>
      <c r="F80" s="155" t="s">
        <v>414</v>
      </c>
      <c r="G80" s="155"/>
      <c r="H80" s="155"/>
      <c r="I80" s="155" t="s">
        <v>657</v>
      </c>
      <c r="J80" s="155"/>
      <c r="K80" s="155"/>
      <c r="L80" s="156" t="s">
        <v>1057</v>
      </c>
      <c r="M80" s="157"/>
      <c r="N80" s="158"/>
      <c r="O80" s="155" t="s">
        <v>223</v>
      </c>
      <c r="P80" s="155"/>
      <c r="Q80" s="155"/>
      <c r="S80" s="155" t="s">
        <v>675</v>
      </c>
      <c r="T80" s="155"/>
      <c r="U80" s="155"/>
    </row>
    <row r="81" spans="2:23" ht="30">
      <c r="B81" s="112"/>
      <c r="C81" s="113" t="s">
        <v>230</v>
      </c>
      <c r="D81" s="113" t="s">
        <v>258</v>
      </c>
      <c r="E81" s="113" t="s">
        <v>236</v>
      </c>
      <c r="F81" s="113" t="s">
        <v>230</v>
      </c>
      <c r="G81" s="113" t="s">
        <v>258</v>
      </c>
      <c r="H81" s="113" t="s">
        <v>236</v>
      </c>
      <c r="I81" s="113" t="s">
        <v>230</v>
      </c>
      <c r="J81" s="113" t="s">
        <v>258</v>
      </c>
      <c r="K81" s="113" t="s">
        <v>236</v>
      </c>
      <c r="L81" s="113" t="s">
        <v>230</v>
      </c>
      <c r="M81" s="113" t="s">
        <v>258</v>
      </c>
      <c r="N81" s="113" t="s">
        <v>236</v>
      </c>
      <c r="O81" s="113" t="s">
        <v>230</v>
      </c>
      <c r="P81" s="113" t="s">
        <v>258</v>
      </c>
      <c r="Q81" s="113" t="s">
        <v>236</v>
      </c>
      <c r="S81" s="113" t="s">
        <v>230</v>
      </c>
      <c r="T81" s="113" t="s">
        <v>258</v>
      </c>
      <c r="U81" s="113" t="s">
        <v>676</v>
      </c>
    </row>
    <row r="82" spans="2:23">
      <c r="B82" s="112" t="s">
        <v>59</v>
      </c>
      <c r="C82" s="114">
        <f>C3*$C$61+($C$64*P3)</f>
        <v>10267.950000000001</v>
      </c>
      <c r="D82" s="114">
        <f>C82*$C$65/1000</f>
        <v>20.535900000000002</v>
      </c>
      <c r="E82" s="114">
        <f>D82*$C$71/1000</f>
        <v>19.693928100000001</v>
      </c>
      <c r="F82" s="114">
        <f>C31*$C$62</f>
        <v>1580</v>
      </c>
      <c r="G82" s="114">
        <f>F82*$C$66/1000</f>
        <v>7.9</v>
      </c>
      <c r="H82" s="114">
        <f>G82*$C$71/1000</f>
        <v>7.5761000000000003</v>
      </c>
      <c r="I82" s="114">
        <f>D31*$C$63</f>
        <v>268</v>
      </c>
      <c r="J82" s="114">
        <f>I82*$C$67/1000</f>
        <v>2.68</v>
      </c>
      <c r="K82" s="114">
        <f>J82*$C$71/1000</f>
        <v>2.5701200000000002</v>
      </c>
      <c r="L82" s="114">
        <f>P40</f>
        <v>45</v>
      </c>
      <c r="M82" s="114">
        <f>Q40/1000</f>
        <v>0.62</v>
      </c>
      <c r="N82" s="114">
        <f>R40</f>
        <v>0.59458</v>
      </c>
      <c r="O82" s="114">
        <f>C82+F82+I82+L82</f>
        <v>12160.95</v>
      </c>
      <c r="P82" s="114">
        <f t="shared" ref="P82:Q85" si="4">D82+G82+J82+M82</f>
        <v>31.735900000000004</v>
      </c>
      <c r="Q82" s="114">
        <f t="shared" si="4"/>
        <v>30.434728100000001</v>
      </c>
      <c r="S82" s="114">
        <f>'RegenSW 2012 survey'!N7</f>
        <v>1679</v>
      </c>
      <c r="T82" s="114">
        <f>'RegenSW 2012 survey'!O7</f>
        <v>10.731999999999999</v>
      </c>
      <c r="U82" s="115">
        <f>T82/P82</f>
        <v>0.33816592565517278</v>
      </c>
      <c r="V82">
        <f>T82/S82</f>
        <v>6.3918999404407378E-3</v>
      </c>
      <c r="W82" t="s">
        <v>677</v>
      </c>
    </row>
    <row r="83" spans="2:23">
      <c r="B83" s="112" t="s">
        <v>61</v>
      </c>
      <c r="C83" s="114">
        <f>C4*$C$61+($C$64*P4)</f>
        <v>7111.25</v>
      </c>
      <c r="D83" s="114">
        <f>C83*$C$65/1000</f>
        <v>14.2225</v>
      </c>
      <c r="E83" s="114">
        <f>D83*$C$71/1000</f>
        <v>13.6393775</v>
      </c>
      <c r="F83" s="114">
        <f>C32*$C$62</f>
        <v>1044</v>
      </c>
      <c r="G83" s="114">
        <f>F83*$C$66/1000</f>
        <v>5.22</v>
      </c>
      <c r="H83" s="114">
        <f>G83*$C$71/1000</f>
        <v>5.0059799999999992</v>
      </c>
      <c r="I83" s="114">
        <f>D32*$C$63</f>
        <v>128</v>
      </c>
      <c r="J83" s="114">
        <f>I83*$C$67/1000</f>
        <v>1.28</v>
      </c>
      <c r="K83" s="114">
        <f>J83*$C$71/1000</f>
        <v>1.2275199999999999</v>
      </c>
      <c r="L83" s="114">
        <f>P41</f>
        <v>40</v>
      </c>
      <c r="M83" s="114">
        <f>Q41/1000</f>
        <v>0.47</v>
      </c>
      <c r="N83" s="114">
        <f>R41</f>
        <v>0.45072999999999996</v>
      </c>
      <c r="O83" s="114">
        <f>C83+F83+I83+L83</f>
        <v>8323.25</v>
      </c>
      <c r="P83" s="114">
        <f t="shared" si="4"/>
        <v>21.192499999999999</v>
      </c>
      <c r="Q83" s="114">
        <f t="shared" si="4"/>
        <v>20.323607499999998</v>
      </c>
      <c r="S83" s="114">
        <f>'RegenSW 2012 survey'!N9</f>
        <v>684</v>
      </c>
      <c r="T83" s="114">
        <f>'RegenSW 2012 survey'!O9</f>
        <v>2.4009999999999998</v>
      </c>
      <c r="U83" s="115">
        <f>T83/P83</f>
        <v>0.11329479768786127</v>
      </c>
      <c r="V83">
        <f>T83/S83</f>
        <v>3.5102339181286549E-3</v>
      </c>
      <c r="W83" t="s">
        <v>677</v>
      </c>
    </row>
    <row r="84" spans="2:23">
      <c r="B84" s="112" t="s">
        <v>647</v>
      </c>
      <c r="C84" s="114">
        <f>C5*$C$61+($C$64*P5)</f>
        <v>3855.9453929376023</v>
      </c>
      <c r="D84" s="114">
        <f>C84*$C$65/1000</f>
        <v>7.7118907858752044</v>
      </c>
      <c r="E84" s="114">
        <f>D84*$C$71/1000</f>
        <v>7.3957032636543207</v>
      </c>
      <c r="F84" s="114">
        <f>C33*$C$62</f>
        <v>663.62755919042377</v>
      </c>
      <c r="G84" s="114">
        <f>F84*$C$66/1000</f>
        <v>3.3181377959521186</v>
      </c>
      <c r="H84" s="114">
        <f>G84*$C$71/1000</f>
        <v>3.1820941463180814</v>
      </c>
      <c r="I84" s="114">
        <f>D33*$C$63</f>
        <v>78.627359183408259</v>
      </c>
      <c r="J84" s="114">
        <f>I84*$C$67/1000</f>
        <v>0.78627359183408263</v>
      </c>
      <c r="K84" s="114">
        <f>J84*$C$71/1000</f>
        <v>0.75403637456888517</v>
      </c>
      <c r="L84" s="114">
        <f>P42</f>
        <v>22</v>
      </c>
      <c r="M84" s="114">
        <f>Q42/1000</f>
        <v>0.24</v>
      </c>
      <c r="N84" s="114">
        <f>R42</f>
        <v>0.23016</v>
      </c>
      <c r="O84" s="114">
        <f>C84+F84+I84+L84</f>
        <v>4620.2003113114342</v>
      </c>
      <c r="P84" s="114">
        <f t="shared" si="4"/>
        <v>12.056302173661406</v>
      </c>
      <c r="Q84" s="114">
        <f t="shared" si="4"/>
        <v>11.561993784541286</v>
      </c>
      <c r="S84" s="114"/>
      <c r="T84" s="114"/>
      <c r="U84" s="114"/>
    </row>
    <row r="85" spans="2:23">
      <c r="B85" s="112" t="s">
        <v>228</v>
      </c>
      <c r="C85" s="114">
        <f>C7*$C$61+($C$64*P7)</f>
        <v>19250.077708438435</v>
      </c>
      <c r="D85" s="114">
        <f>C85*$C$65/1000</f>
        <v>38.500155416876872</v>
      </c>
      <c r="E85" s="114">
        <f>D85*$C$71/1000</f>
        <v>36.921649044784921</v>
      </c>
      <c r="F85" s="114">
        <f>C35*$C$62</f>
        <v>2905.7741077487285</v>
      </c>
      <c r="G85" s="114">
        <f>F85*$C$66/1000</f>
        <v>14.528870538743643</v>
      </c>
      <c r="H85" s="114">
        <f>G85*$C$71/1000</f>
        <v>13.933186846655154</v>
      </c>
      <c r="I85" s="114">
        <f>D35*$C$63</f>
        <v>442.53016467846822</v>
      </c>
      <c r="J85" s="114">
        <f>I85*$C$67/1000</f>
        <v>4.425301646784682</v>
      </c>
      <c r="K85" s="114">
        <f>J85*$C$71/1000</f>
        <v>4.2438642792665098</v>
      </c>
      <c r="L85" s="114">
        <f>P44</f>
        <v>98</v>
      </c>
      <c r="M85" s="114">
        <f>Q44/1000</f>
        <v>1.24</v>
      </c>
      <c r="N85" s="114">
        <f>R44</f>
        <v>1.18916</v>
      </c>
      <c r="O85" s="114">
        <f>C85+F85+I85+L85</f>
        <v>22696.381980865634</v>
      </c>
      <c r="P85" s="114">
        <f t="shared" si="4"/>
        <v>58.694327602405195</v>
      </c>
      <c r="Q85" s="114">
        <f t="shared" si="4"/>
        <v>56.287860170706587</v>
      </c>
      <c r="S85" s="114"/>
      <c r="T85" s="114"/>
      <c r="U85" s="114"/>
    </row>
    <row r="87" spans="2:23">
      <c r="B87" s="112" t="s">
        <v>669</v>
      </c>
      <c r="C87" s="155" t="s">
        <v>673</v>
      </c>
      <c r="D87" s="155"/>
      <c r="E87" s="155"/>
      <c r="F87" s="155" t="s">
        <v>1155</v>
      </c>
      <c r="G87" s="155"/>
      <c r="H87" s="155"/>
      <c r="I87" s="155" t="s">
        <v>223</v>
      </c>
      <c r="J87" s="155"/>
      <c r="K87" s="155"/>
    </row>
    <row r="88" spans="2:23" ht="30">
      <c r="B88" s="112"/>
      <c r="C88" s="113" t="s">
        <v>230</v>
      </c>
      <c r="D88" s="113" t="s">
        <v>258</v>
      </c>
      <c r="E88" s="113" t="s">
        <v>236</v>
      </c>
      <c r="F88" s="113" t="s">
        <v>230</v>
      </c>
      <c r="G88" s="113" t="s">
        <v>258</v>
      </c>
      <c r="H88" s="113" t="s">
        <v>236</v>
      </c>
      <c r="I88" s="113" t="s">
        <v>230</v>
      </c>
      <c r="J88" s="113" t="s">
        <v>258</v>
      </c>
      <c r="K88" s="113" t="s">
        <v>236</v>
      </c>
    </row>
    <row r="89" spans="2:23">
      <c r="B89" s="112" t="s">
        <v>59</v>
      </c>
      <c r="C89" s="114">
        <f t="shared" ref="C89:E92" si="5">C82</f>
        <v>10267.950000000001</v>
      </c>
      <c r="D89" s="114">
        <f t="shared" si="5"/>
        <v>20.535900000000002</v>
      </c>
      <c r="E89" s="114">
        <f t="shared" si="5"/>
        <v>19.693928100000001</v>
      </c>
      <c r="F89" s="114">
        <f t="shared" ref="F89:H92" si="6">I89-C89</f>
        <v>1893</v>
      </c>
      <c r="G89" s="114">
        <f t="shared" si="6"/>
        <v>11.200000000000003</v>
      </c>
      <c r="H89" s="114">
        <f t="shared" si="6"/>
        <v>10.7408</v>
      </c>
      <c r="I89" s="114">
        <f t="shared" ref="I89:K92" si="7">O82</f>
        <v>12160.95</v>
      </c>
      <c r="J89" s="114">
        <f t="shared" si="7"/>
        <v>31.735900000000004</v>
      </c>
      <c r="K89" s="114">
        <f t="shared" si="7"/>
        <v>30.434728100000001</v>
      </c>
    </row>
    <row r="90" spans="2:23">
      <c r="B90" s="112" t="s">
        <v>61</v>
      </c>
      <c r="C90" s="114">
        <f t="shared" si="5"/>
        <v>7111.25</v>
      </c>
      <c r="D90" s="114">
        <f t="shared" si="5"/>
        <v>14.2225</v>
      </c>
      <c r="E90" s="114">
        <f t="shared" si="5"/>
        <v>13.6393775</v>
      </c>
      <c r="F90" s="114">
        <f t="shared" si="6"/>
        <v>1212</v>
      </c>
      <c r="G90" s="114">
        <f t="shared" si="6"/>
        <v>6.9699999999999989</v>
      </c>
      <c r="H90" s="114">
        <f t="shared" si="6"/>
        <v>6.6842299999999977</v>
      </c>
      <c r="I90" s="114">
        <f t="shared" si="7"/>
        <v>8323.25</v>
      </c>
      <c r="J90" s="114">
        <f t="shared" si="7"/>
        <v>21.192499999999999</v>
      </c>
      <c r="K90" s="114">
        <f t="shared" si="7"/>
        <v>20.323607499999998</v>
      </c>
    </row>
    <row r="91" spans="2:23">
      <c r="B91" s="112" t="s">
        <v>647</v>
      </c>
      <c r="C91" s="114">
        <f t="shared" si="5"/>
        <v>3855.9453929376023</v>
      </c>
      <c r="D91" s="114">
        <f t="shared" si="5"/>
        <v>7.7118907858752044</v>
      </c>
      <c r="E91" s="114">
        <f t="shared" si="5"/>
        <v>7.3957032636543207</v>
      </c>
      <c r="F91" s="114">
        <f t="shared" si="6"/>
        <v>764.25491837383197</v>
      </c>
      <c r="G91" s="114">
        <f t="shared" si="6"/>
        <v>4.3444113877862014</v>
      </c>
      <c r="H91" s="114">
        <f t="shared" si="6"/>
        <v>4.1662905208869656</v>
      </c>
      <c r="I91" s="114">
        <f t="shared" si="7"/>
        <v>4620.2003113114342</v>
      </c>
      <c r="J91" s="114">
        <f t="shared" si="7"/>
        <v>12.056302173661406</v>
      </c>
      <c r="K91" s="114">
        <f t="shared" si="7"/>
        <v>11.561993784541286</v>
      </c>
    </row>
    <row r="92" spans="2:23">
      <c r="B92" s="112" t="s">
        <v>228</v>
      </c>
      <c r="C92" s="114">
        <f t="shared" si="5"/>
        <v>19250.077708438435</v>
      </c>
      <c r="D92" s="114">
        <f t="shared" si="5"/>
        <v>38.500155416876872</v>
      </c>
      <c r="E92" s="114">
        <f t="shared" si="5"/>
        <v>36.921649044784921</v>
      </c>
      <c r="F92" s="114">
        <f t="shared" si="6"/>
        <v>3446.3042724271982</v>
      </c>
      <c r="G92" s="114">
        <f t="shared" si="6"/>
        <v>20.194172185528323</v>
      </c>
      <c r="H92" s="114">
        <f t="shared" si="6"/>
        <v>19.366211125921666</v>
      </c>
      <c r="I92" s="114">
        <f t="shared" si="7"/>
        <v>22696.381980865634</v>
      </c>
      <c r="J92" s="114">
        <f t="shared" si="7"/>
        <v>58.694327602405195</v>
      </c>
      <c r="K92" s="114">
        <f t="shared" si="7"/>
        <v>56.287860170706587</v>
      </c>
    </row>
  </sheetData>
  <mergeCells count="17">
    <mergeCell ref="C87:E87"/>
    <mergeCell ref="F87:H87"/>
    <mergeCell ref="I87:K87"/>
    <mergeCell ref="S80:U80"/>
    <mergeCell ref="C73:E73"/>
    <mergeCell ref="F73:H73"/>
    <mergeCell ref="I73:K73"/>
    <mergeCell ref="O80:Q80"/>
    <mergeCell ref="I80:K80"/>
    <mergeCell ref="F80:H80"/>
    <mergeCell ref="C80:E80"/>
    <mergeCell ref="L80:N80"/>
    <mergeCell ref="P38:R38"/>
    <mergeCell ref="M38:O38"/>
    <mergeCell ref="J38:L38"/>
    <mergeCell ref="G38:I38"/>
    <mergeCell ref="M73:O73"/>
  </mergeCells>
  <pageMargins left="0.7" right="0.7" top="0.75" bottom="0.75" header="0.3" footer="0.3"/>
</worksheet>
</file>

<file path=xl/worksheets/sheet18.xml><?xml version="1.0" encoding="utf-8"?>
<worksheet xmlns="http://schemas.openxmlformats.org/spreadsheetml/2006/main" xmlns:r="http://schemas.openxmlformats.org/officeDocument/2006/relationships">
  <sheetPr>
    <tabColor rgb="FF00B050"/>
  </sheetPr>
  <dimension ref="C1:N84"/>
  <sheetViews>
    <sheetView topLeftCell="A40" workbookViewId="0">
      <selection activeCell="D9" sqref="D9:D10"/>
    </sheetView>
  </sheetViews>
  <sheetFormatPr defaultRowHeight="15"/>
  <sheetData>
    <row r="1" spans="3:7">
      <c r="C1" s="1" t="s">
        <v>319</v>
      </c>
    </row>
    <row r="2" spans="3:7">
      <c r="C2" t="s">
        <v>262</v>
      </c>
    </row>
    <row r="3" spans="3:7">
      <c r="C3" t="s">
        <v>263</v>
      </c>
    </row>
    <row r="4" spans="3:7">
      <c r="C4" t="s">
        <v>264</v>
      </c>
    </row>
    <row r="5" spans="3:7">
      <c r="C5" t="s">
        <v>265</v>
      </c>
    </row>
    <row r="7" spans="3:7">
      <c r="C7" t="s">
        <v>266</v>
      </c>
    </row>
    <row r="8" spans="3:7" ht="30">
      <c r="C8" s="10"/>
      <c r="D8" s="12" t="s">
        <v>230</v>
      </c>
      <c r="E8" s="12" t="s">
        <v>258</v>
      </c>
      <c r="F8" s="12" t="s">
        <v>236</v>
      </c>
    </row>
    <row r="9" spans="3:7">
      <c r="C9" t="s">
        <v>59</v>
      </c>
      <c r="D9">
        <v>15866</v>
      </c>
      <c r="E9">
        <v>95</v>
      </c>
      <c r="F9" s="21">
        <v>220</v>
      </c>
    </row>
    <row r="10" spans="3:7">
      <c r="C10" t="s">
        <v>61</v>
      </c>
      <c r="D10">
        <v>7718</v>
      </c>
      <c r="E10">
        <v>46</v>
      </c>
      <c r="F10" s="21">
        <v>97</v>
      </c>
    </row>
    <row r="11" spans="3:7">
      <c r="C11" t="s">
        <v>227</v>
      </c>
      <c r="D11" t="s">
        <v>267</v>
      </c>
      <c r="E11" t="s">
        <v>267</v>
      </c>
      <c r="F11" t="s">
        <v>267</v>
      </c>
      <c r="G11" t="s">
        <v>268</v>
      </c>
    </row>
    <row r="12" spans="3:7">
      <c r="C12" t="s">
        <v>228</v>
      </c>
      <c r="E12">
        <f>E9+E10</f>
        <v>141</v>
      </c>
      <c r="F12" s="21">
        <f>E12/1000*8760*wind!$B$19</f>
        <v>247.03199999999998</v>
      </c>
    </row>
    <row r="14" spans="3:7">
      <c r="C14" t="s">
        <v>269</v>
      </c>
    </row>
    <row r="15" spans="3:7">
      <c r="C15" t="s">
        <v>270</v>
      </c>
    </row>
    <row r="16" spans="3:7">
      <c r="C16" t="s">
        <v>271</v>
      </c>
    </row>
    <row r="18" spans="3:5">
      <c r="C18" t="s">
        <v>272</v>
      </c>
    </row>
    <row r="20" spans="3:5">
      <c r="C20" s="1" t="s">
        <v>273</v>
      </c>
    </row>
    <row r="21" spans="3:5">
      <c r="C21" s="13" t="s">
        <v>279</v>
      </c>
    </row>
    <row r="23" spans="3:5">
      <c r="C23">
        <v>41.3</v>
      </c>
      <c r="D23" t="s">
        <v>275</v>
      </c>
      <c r="E23" t="s">
        <v>274</v>
      </c>
    </row>
    <row r="24" spans="3:5">
      <c r="C24" s="6">
        <v>0.81</v>
      </c>
      <c r="D24" t="s">
        <v>276</v>
      </c>
    </row>
    <row r="25" spans="3:5">
      <c r="C25">
        <f>C23*C24</f>
        <v>33.453000000000003</v>
      </c>
      <c r="D25" t="s">
        <v>275</v>
      </c>
      <c r="E25" t="s">
        <v>277</v>
      </c>
    </row>
    <row r="26" spans="3:5">
      <c r="C26">
        <f>C23-C25</f>
        <v>7.8469999999999942</v>
      </c>
      <c r="D26" t="s">
        <v>275</v>
      </c>
      <c r="E26" t="s">
        <v>278</v>
      </c>
    </row>
    <row r="27" spans="3:5">
      <c r="C27" t="s">
        <v>280</v>
      </c>
      <c r="D27" t="s">
        <v>282</v>
      </c>
    </row>
    <row r="28" spans="3:5">
      <c r="C28" s="6">
        <v>0.1</v>
      </c>
      <c r="D28" t="s">
        <v>281</v>
      </c>
    </row>
    <row r="29" spans="3:5">
      <c r="C29" t="s">
        <v>283</v>
      </c>
      <c r="D29" t="s">
        <v>284</v>
      </c>
    </row>
    <row r="30" spans="3:5">
      <c r="C30" t="s">
        <v>286</v>
      </c>
      <c r="D30" t="s">
        <v>285</v>
      </c>
    </row>
    <row r="33" spans="3:7">
      <c r="C33" t="s">
        <v>288</v>
      </c>
    </row>
    <row r="34" spans="3:7">
      <c r="C34" t="s">
        <v>289</v>
      </c>
    </row>
    <row r="35" spans="3:7">
      <c r="C35" s="9" t="s">
        <v>290</v>
      </c>
    </row>
    <row r="37" spans="3:7">
      <c r="C37" t="s">
        <v>287</v>
      </c>
      <c r="D37">
        <v>52234</v>
      </c>
    </row>
    <row r="38" spans="3:7">
      <c r="C38" t="s">
        <v>291</v>
      </c>
      <c r="D38">
        <v>3006.4</v>
      </c>
    </row>
    <row r="39" spans="3:7">
      <c r="C39" t="s">
        <v>292</v>
      </c>
      <c r="D39">
        <v>5222.1000000000004</v>
      </c>
    </row>
    <row r="40" spans="3:7">
      <c r="C40" t="s">
        <v>293</v>
      </c>
      <c r="D40">
        <v>1799.4</v>
      </c>
    </row>
    <row r="41" spans="3:7">
      <c r="C41" t="s">
        <v>294</v>
      </c>
      <c r="D41">
        <f>D37/(SUM(D37:D40))</f>
        <v>0.83894002592275529</v>
      </c>
    </row>
    <row r="43" spans="3:7">
      <c r="C43" t="s">
        <v>295</v>
      </c>
    </row>
    <row r="45" spans="3:7">
      <c r="C45">
        <f>C25*$D$41</f>
        <v>28.065060687193935</v>
      </c>
      <c r="D45" t="s">
        <v>296</v>
      </c>
    </row>
    <row r="46" spans="3:7">
      <c r="C46">
        <f>C26*$D$41</f>
        <v>6.5831623834158561</v>
      </c>
      <c r="D46" t="s">
        <v>297</v>
      </c>
    </row>
    <row r="48" spans="3:7">
      <c r="E48" s="36"/>
      <c r="G48" s="36"/>
    </row>
    <row r="49" spans="3:7">
      <c r="C49" s="1" t="s">
        <v>309</v>
      </c>
      <c r="E49" s="36"/>
      <c r="G49" s="36"/>
    </row>
    <row r="50" spans="3:7">
      <c r="C50" s="9" t="s">
        <v>308</v>
      </c>
      <c r="E50" s="36"/>
      <c r="G50" s="36"/>
    </row>
    <row r="51" spans="3:7">
      <c r="C51" t="s">
        <v>301</v>
      </c>
      <c r="D51">
        <v>4192</v>
      </c>
      <c r="E51" s="36" t="s">
        <v>60</v>
      </c>
      <c r="G51" s="36"/>
    </row>
    <row r="52" spans="3:7">
      <c r="C52" t="s">
        <v>312</v>
      </c>
      <c r="D52">
        <v>3824</v>
      </c>
      <c r="E52" s="36" t="s">
        <v>60</v>
      </c>
      <c r="G52" s="36"/>
    </row>
    <row r="53" spans="3:7">
      <c r="C53" t="s">
        <v>302</v>
      </c>
      <c r="D53">
        <v>6036</v>
      </c>
      <c r="E53" s="36" t="s">
        <v>59</v>
      </c>
      <c r="G53" s="36"/>
    </row>
    <row r="54" spans="3:7">
      <c r="C54" t="s">
        <v>303</v>
      </c>
      <c r="D54">
        <v>1830</v>
      </c>
      <c r="E54" s="36" t="s">
        <v>60</v>
      </c>
      <c r="G54" s="36"/>
    </row>
    <row r="55" spans="3:7">
      <c r="C55" t="s">
        <v>304</v>
      </c>
      <c r="D55">
        <v>7597</v>
      </c>
      <c r="E55" s="36" t="s">
        <v>61</v>
      </c>
      <c r="G55" s="36"/>
    </row>
    <row r="56" spans="3:7">
      <c r="C56" t="s">
        <v>305</v>
      </c>
      <c r="D56">
        <v>8435</v>
      </c>
      <c r="E56" s="36" t="s">
        <v>59</v>
      </c>
      <c r="G56" s="36"/>
    </row>
    <row r="57" spans="3:7">
      <c r="C57" t="s">
        <v>306</v>
      </c>
      <c r="D57">
        <v>5446</v>
      </c>
      <c r="E57" s="36" t="s">
        <v>59</v>
      </c>
      <c r="G57" s="36"/>
    </row>
    <row r="58" spans="3:7">
      <c r="C58" t="s">
        <v>115</v>
      </c>
      <c r="D58">
        <v>12425</v>
      </c>
      <c r="E58" s="36" t="s">
        <v>59</v>
      </c>
      <c r="G58" s="36"/>
    </row>
    <row r="59" spans="3:7">
      <c r="C59" t="s">
        <v>307</v>
      </c>
      <c r="D59">
        <v>12495</v>
      </c>
      <c r="E59" s="36" t="s">
        <v>61</v>
      </c>
      <c r="G59" s="36"/>
    </row>
    <row r="60" spans="3:7">
      <c r="E60" s="36"/>
      <c r="G60" s="36"/>
    </row>
    <row r="61" spans="3:7">
      <c r="C61" s="1" t="s">
        <v>310</v>
      </c>
      <c r="E61" s="36"/>
      <c r="G61" s="36"/>
    </row>
    <row r="62" spans="3:7">
      <c r="C62" s="1"/>
      <c r="D62" t="s">
        <v>313</v>
      </c>
      <c r="E62" s="36" t="s">
        <v>299</v>
      </c>
      <c r="F62" t="s">
        <v>298</v>
      </c>
      <c r="G62" s="36"/>
    </row>
    <row r="63" spans="3:7">
      <c r="C63" s="38" t="s">
        <v>59</v>
      </c>
      <c r="D63">
        <v>86779</v>
      </c>
      <c r="E63">
        <f>D53+D56+D57+D58</f>
        <v>32342</v>
      </c>
      <c r="F63" s="39">
        <f>D63-E63</f>
        <v>54437</v>
      </c>
      <c r="G63" s="36"/>
    </row>
    <row r="64" spans="3:7">
      <c r="C64" s="38" t="s">
        <v>61</v>
      </c>
      <c r="D64">
        <v>55000</v>
      </c>
      <c r="E64">
        <f>D55+D59</f>
        <v>20092</v>
      </c>
      <c r="F64" s="39">
        <f>D64-E64</f>
        <v>34908</v>
      </c>
      <c r="G64" s="36"/>
    </row>
    <row r="65" spans="3:14">
      <c r="C65" s="38" t="s">
        <v>227</v>
      </c>
      <c r="D65">
        <v>39734</v>
      </c>
      <c r="E65">
        <f>E66</f>
        <v>9846</v>
      </c>
      <c r="F65" s="39">
        <f>D65-E65</f>
        <v>29888</v>
      </c>
      <c r="G65" s="36"/>
    </row>
    <row r="66" spans="3:14">
      <c r="C66" s="38" t="s">
        <v>311</v>
      </c>
      <c r="D66">
        <v>16441</v>
      </c>
      <c r="E66">
        <f>D51+D52+D54</f>
        <v>9846</v>
      </c>
      <c r="F66" s="39">
        <f>D66-E66</f>
        <v>6595</v>
      </c>
      <c r="G66" s="36"/>
    </row>
    <row r="67" spans="3:14">
      <c r="C67" s="38" t="s">
        <v>287</v>
      </c>
      <c r="D67">
        <v>51810000</v>
      </c>
      <c r="E67">
        <v>42185000</v>
      </c>
      <c r="F67">
        <v>9625000</v>
      </c>
      <c r="G67" s="36" t="s">
        <v>315</v>
      </c>
    </row>
    <row r="69" spans="3:14">
      <c r="C69" s="19" t="s">
        <v>314</v>
      </c>
    </row>
    <row r="72" spans="3:14">
      <c r="C72" t="s">
        <v>266</v>
      </c>
    </row>
    <row r="73" spans="3:14">
      <c r="D73" t="s">
        <v>298</v>
      </c>
      <c r="I73" t="s">
        <v>299</v>
      </c>
      <c r="L73" t="s">
        <v>223</v>
      </c>
      <c r="M73" s="27"/>
      <c r="N73" s="27"/>
    </row>
    <row r="74" spans="3:14" ht="30">
      <c r="C74" s="10"/>
      <c r="D74" s="12" t="s">
        <v>300</v>
      </c>
      <c r="E74" s="12" t="s">
        <v>230</v>
      </c>
      <c r="F74" s="12" t="s">
        <v>258</v>
      </c>
      <c r="G74" s="12" t="s">
        <v>236</v>
      </c>
      <c r="H74" s="12" t="s">
        <v>300</v>
      </c>
      <c r="I74" s="12" t="s">
        <v>230</v>
      </c>
      <c r="J74" s="12" t="s">
        <v>258</v>
      </c>
      <c r="K74" s="12" t="s">
        <v>236</v>
      </c>
      <c r="L74" s="12" t="s">
        <v>230</v>
      </c>
      <c r="M74" s="12" t="s">
        <v>258</v>
      </c>
      <c r="N74" s="12" t="s">
        <v>236</v>
      </c>
    </row>
    <row r="75" spans="3:14">
      <c r="C75" t="s">
        <v>59</v>
      </c>
      <c r="D75" s="27">
        <v>6</v>
      </c>
      <c r="E75" s="24">
        <f>F75/D75*1000</f>
        <v>17257.028869955091</v>
      </c>
      <c r="F75" s="24">
        <f>G75*1000/8760/0.175</f>
        <v>103.54217321973053</v>
      </c>
      <c r="G75" s="24">
        <f>C45*(F63/F67)*1000</f>
        <v>158.73015154584689</v>
      </c>
      <c r="H75" s="27">
        <v>1.5</v>
      </c>
      <c r="I75" s="24">
        <f>J75/H75*1000</f>
        <v>3841.0328536645334</v>
      </c>
      <c r="J75" s="24">
        <f>K75*1000/8760/0.1</f>
        <v>5.7615492804968005</v>
      </c>
      <c r="K75" s="24">
        <f>C46*(E63/E67)*1000</f>
        <v>5.0471171697151975</v>
      </c>
      <c r="L75" s="24">
        <f t="shared" ref="L75:N79" si="0">E75+I75</f>
        <v>21098.061723619623</v>
      </c>
      <c r="M75" s="24">
        <f t="shared" si="0"/>
        <v>109.30372250022732</v>
      </c>
      <c r="N75" s="24">
        <f t="shared" si="0"/>
        <v>163.77726871556209</v>
      </c>
    </row>
    <row r="76" spans="3:14">
      <c r="C76" t="s">
        <v>61</v>
      </c>
      <c r="D76" s="27">
        <v>6</v>
      </c>
      <c r="E76" s="24">
        <f>F76/D76*1000</f>
        <v>11066.156544122419</v>
      </c>
      <c r="F76" s="24">
        <f>G76*1000/8760/0.175</f>
        <v>66.396939264734513</v>
      </c>
      <c r="G76" s="24">
        <f>C45*(F64/F67)*1000</f>
        <v>101.78650789283802</v>
      </c>
      <c r="H76" s="27">
        <v>1.5</v>
      </c>
      <c r="I76" s="24">
        <f>J76/H76*1000</f>
        <v>2386.1861386379264</v>
      </c>
      <c r="J76" s="24">
        <f>K76*1000/8760/0.1</f>
        <v>3.5792792079568896</v>
      </c>
      <c r="K76" s="24">
        <f>C46*(E64/E67)*1000</f>
        <v>3.1354485861702357</v>
      </c>
      <c r="L76" s="24">
        <f t="shared" si="0"/>
        <v>13452.342682760345</v>
      </c>
      <c r="M76" s="24">
        <f t="shared" si="0"/>
        <v>69.9762184726914</v>
      </c>
      <c r="N76" s="24">
        <f t="shared" si="0"/>
        <v>104.92195647900826</v>
      </c>
    </row>
    <row r="77" spans="3:14">
      <c r="C77" t="s">
        <v>227</v>
      </c>
      <c r="D77" s="27">
        <v>6</v>
      </c>
      <c r="E77" s="24">
        <f>F77/D77*1000</f>
        <v>9474.7704477693042</v>
      </c>
      <c r="F77" s="24">
        <f>G77*1000/8760/0.175</f>
        <v>56.848622686615819</v>
      </c>
      <c r="G77" s="24">
        <f>C45*(F65/F67)*1000</f>
        <v>87.148938578582047</v>
      </c>
      <c r="H77" s="27">
        <v>1.5</v>
      </c>
      <c r="I77" s="24">
        <f>J77/H77*1000</f>
        <v>1169.3404698899571</v>
      </c>
      <c r="J77" s="24">
        <f>K77*1000/8760/0.1</f>
        <v>1.7540107048349358</v>
      </c>
      <c r="K77" s="24">
        <f>C46*(E65/E67)*1000</f>
        <v>1.5365133774354041</v>
      </c>
      <c r="L77" s="24">
        <f t="shared" si="0"/>
        <v>10644.110917659262</v>
      </c>
      <c r="M77" s="24">
        <f t="shared" si="0"/>
        <v>58.602633391450752</v>
      </c>
      <c r="N77" s="24">
        <f t="shared" si="0"/>
        <v>88.685451956017445</v>
      </c>
    </row>
    <row r="78" spans="3:14">
      <c r="C78" s="38" t="s">
        <v>311</v>
      </c>
      <c r="D78" s="27">
        <v>6</v>
      </c>
      <c r="E78" s="24">
        <f>F78/D78*1000</f>
        <v>2090.6755588543415</v>
      </c>
      <c r="F78" s="24">
        <f>G78*1000/8760/0.175</f>
        <v>12.544053353126049</v>
      </c>
      <c r="G78" s="24">
        <f>C45*(F66/F67)*1000</f>
        <v>19.230033790342233</v>
      </c>
      <c r="H78" s="27">
        <v>1.5</v>
      </c>
      <c r="I78" s="24">
        <f>J78/H78*1000</f>
        <v>1169.3404698899571</v>
      </c>
      <c r="J78" s="24">
        <f>K78*1000/8760/0.1</f>
        <v>1.7540107048349358</v>
      </c>
      <c r="K78" s="24">
        <f>C46*(E66/E67)*1000</f>
        <v>1.5365133774354041</v>
      </c>
      <c r="L78" s="24">
        <f t="shared" si="0"/>
        <v>3260.0160287442986</v>
      </c>
      <c r="M78" s="24">
        <f t="shared" si="0"/>
        <v>14.298064057960985</v>
      </c>
      <c r="N78" s="24">
        <f t="shared" si="0"/>
        <v>20.766547167777638</v>
      </c>
    </row>
    <row r="79" spans="3:14">
      <c r="C79" t="s">
        <v>228</v>
      </c>
      <c r="D79" s="27">
        <v>6</v>
      </c>
      <c r="E79" s="24">
        <f>SUM(E75:E76)+E78</f>
        <v>30413.860972931852</v>
      </c>
      <c r="F79" s="24">
        <f>SUM(F75:F76)+F78</f>
        <v>182.48316583759112</v>
      </c>
      <c r="G79" s="24">
        <f>SUM(G75:G76)+G78</f>
        <v>279.74669322902713</v>
      </c>
      <c r="H79" s="27">
        <v>1.5</v>
      </c>
      <c r="I79" s="24">
        <f>SUM(I75:I76)+I78</f>
        <v>7396.5594621924174</v>
      </c>
      <c r="J79" s="24">
        <f>SUM(J75:J76)+J78</f>
        <v>11.094839193288626</v>
      </c>
      <c r="K79" s="24">
        <f>SUM(K75:K76)+K78</f>
        <v>9.719079133320836</v>
      </c>
      <c r="L79" s="24">
        <f t="shared" si="0"/>
        <v>37810.420435124266</v>
      </c>
      <c r="M79" s="24">
        <f t="shared" si="0"/>
        <v>193.57800503087975</v>
      </c>
      <c r="N79" s="24">
        <f t="shared" si="0"/>
        <v>289.46577236234799</v>
      </c>
    </row>
    <row r="80" spans="3:14">
      <c r="I80" s="24"/>
      <c r="J80" s="24"/>
      <c r="K80" s="24"/>
      <c r="L80" s="24"/>
    </row>
    <row r="81" spans="3:12">
      <c r="C81" t="s">
        <v>316</v>
      </c>
      <c r="D81">
        <f>D63+D64+D66</f>
        <v>158220</v>
      </c>
      <c r="I81" s="24"/>
      <c r="J81" s="24"/>
      <c r="K81" s="24"/>
      <c r="L81" s="24"/>
    </row>
    <row r="82" spans="3:12">
      <c r="C82" t="s">
        <v>318</v>
      </c>
      <c r="D82" s="27">
        <v>2.2000000000000002</v>
      </c>
      <c r="I82" s="24"/>
      <c r="J82" s="24"/>
      <c r="K82" s="24"/>
      <c r="L82" s="24"/>
    </row>
    <row r="83" spans="3:12">
      <c r="C83" t="s">
        <v>317</v>
      </c>
      <c r="D83" s="8">
        <f>L79*D82/D81</f>
        <v>0.52574216254122996</v>
      </c>
      <c r="I83" s="24"/>
      <c r="J83" s="24"/>
      <c r="K83" s="24"/>
      <c r="L83" s="24"/>
    </row>
    <row r="84" spans="3:12">
      <c r="I84" s="24"/>
      <c r="J84" s="24"/>
      <c r="K84" s="24"/>
      <c r="L84" s="24"/>
    </row>
  </sheetData>
  <hyperlinks>
    <hyperlink ref="C35" r:id="rId1"/>
    <hyperlink ref="C50" r:id="rId2"/>
  </hyperlinks>
  <pageMargins left="0.7" right="0.7" top="0.75" bottom="0.75" header="0.3" footer="0.3"/>
  <drawing r:id="rId3"/>
</worksheet>
</file>

<file path=xl/worksheets/sheet19.xml><?xml version="1.0" encoding="utf-8"?>
<worksheet xmlns="http://schemas.openxmlformats.org/spreadsheetml/2006/main" xmlns:r="http://schemas.openxmlformats.org/officeDocument/2006/relationships">
  <dimension ref="A1:AC9"/>
  <sheetViews>
    <sheetView zoomScale="85" zoomScaleNormal="85" workbookViewId="0">
      <selection activeCell="AB7" sqref="AB7:AB11"/>
    </sheetView>
  </sheetViews>
  <sheetFormatPr defaultRowHeight="15"/>
  <cols>
    <col min="1" max="1" width="13.7109375" customWidth="1"/>
  </cols>
  <sheetData>
    <row r="1" spans="1:29">
      <c r="A1" t="s">
        <v>56</v>
      </c>
    </row>
    <row r="2" spans="1:29">
      <c r="A2" s="9" t="s">
        <v>57</v>
      </c>
    </row>
    <row r="3" spans="1:29">
      <c r="A3" s="9" t="s">
        <v>58</v>
      </c>
    </row>
    <row r="5" spans="1:29">
      <c r="B5" t="s">
        <v>62</v>
      </c>
      <c r="D5" t="s">
        <v>65</v>
      </c>
      <c r="F5" t="s">
        <v>66</v>
      </c>
      <c r="H5" t="s">
        <v>67</v>
      </c>
      <c r="J5" t="s">
        <v>68</v>
      </c>
      <c r="L5" t="s">
        <v>69</v>
      </c>
      <c r="N5" t="s">
        <v>70</v>
      </c>
      <c r="P5" t="s">
        <v>71</v>
      </c>
      <c r="R5" t="s">
        <v>72</v>
      </c>
      <c r="T5" t="s">
        <v>65</v>
      </c>
      <c r="V5" t="s">
        <v>73</v>
      </c>
      <c r="X5" t="s">
        <v>74</v>
      </c>
      <c r="Z5" t="s">
        <v>69</v>
      </c>
      <c r="AB5" t="s">
        <v>75</v>
      </c>
    </row>
    <row r="6" spans="1:29" s="10" customFormat="1" ht="30">
      <c r="B6" s="10" t="s">
        <v>64</v>
      </c>
      <c r="C6" s="10" t="s">
        <v>63</v>
      </c>
      <c r="D6" s="10" t="s">
        <v>64</v>
      </c>
      <c r="E6" s="10" t="s">
        <v>63</v>
      </c>
      <c r="F6" s="10" t="s">
        <v>64</v>
      </c>
      <c r="G6" s="10" t="s">
        <v>63</v>
      </c>
      <c r="H6" s="10" t="s">
        <v>64</v>
      </c>
      <c r="I6" s="10" t="s">
        <v>63</v>
      </c>
      <c r="J6" s="10" t="s">
        <v>64</v>
      </c>
      <c r="K6" s="10" t="s">
        <v>63</v>
      </c>
      <c r="L6" s="10" t="s">
        <v>64</v>
      </c>
      <c r="M6" s="10" t="s">
        <v>63</v>
      </c>
      <c r="N6" s="10" t="s">
        <v>64</v>
      </c>
      <c r="O6" s="10" t="s">
        <v>63</v>
      </c>
      <c r="P6" s="10" t="s">
        <v>64</v>
      </c>
      <c r="Q6" s="10" t="s">
        <v>63</v>
      </c>
      <c r="R6" s="10" t="s">
        <v>64</v>
      </c>
      <c r="S6" s="10" t="s">
        <v>76</v>
      </c>
      <c r="T6" s="10" t="s">
        <v>64</v>
      </c>
      <c r="U6" s="10" t="s">
        <v>76</v>
      </c>
      <c r="V6" s="10" t="s">
        <v>64</v>
      </c>
      <c r="W6" s="10" t="s">
        <v>76</v>
      </c>
      <c r="X6" s="10" t="s">
        <v>64</v>
      </c>
      <c r="Y6" s="10" t="s">
        <v>76</v>
      </c>
      <c r="Z6" s="10" t="s">
        <v>64</v>
      </c>
      <c r="AA6" s="10" t="s">
        <v>76</v>
      </c>
      <c r="AB6" s="10" t="s">
        <v>64</v>
      </c>
      <c r="AC6" s="10" t="s">
        <v>76</v>
      </c>
    </row>
    <row r="7" spans="1:29">
      <c r="A7" t="s">
        <v>59</v>
      </c>
      <c r="B7" t="s">
        <v>134</v>
      </c>
      <c r="C7">
        <v>12.834</v>
      </c>
      <c r="D7">
        <v>1</v>
      </c>
      <c r="E7">
        <v>0.5</v>
      </c>
      <c r="F7">
        <v>11</v>
      </c>
      <c r="G7">
        <v>1.3080000000000001</v>
      </c>
      <c r="H7">
        <v>2</v>
      </c>
      <c r="I7">
        <v>8.4760000000000009</v>
      </c>
      <c r="J7">
        <v>23</v>
      </c>
      <c r="K7">
        <v>0.13</v>
      </c>
      <c r="L7">
        <v>2</v>
      </c>
      <c r="M7">
        <v>0.16500000000000001</v>
      </c>
      <c r="N7">
        <v>1679</v>
      </c>
      <c r="O7">
        <v>10.731999999999999</v>
      </c>
      <c r="P7">
        <v>0</v>
      </c>
      <c r="Q7">
        <v>0</v>
      </c>
      <c r="R7" s="10">
        <v>172</v>
      </c>
      <c r="S7">
        <v>3.1890000000000001</v>
      </c>
      <c r="T7">
        <v>0</v>
      </c>
      <c r="U7">
        <v>0</v>
      </c>
      <c r="V7">
        <v>33</v>
      </c>
      <c r="W7">
        <v>1.8340000000000001</v>
      </c>
      <c r="X7">
        <v>69</v>
      </c>
      <c r="Y7">
        <v>0.876</v>
      </c>
      <c r="Z7">
        <v>2</v>
      </c>
      <c r="AA7">
        <v>0.28499999999999998</v>
      </c>
      <c r="AB7">
        <v>68</v>
      </c>
      <c r="AC7">
        <v>0.19400000000000001</v>
      </c>
    </row>
    <row r="8" spans="1:29">
      <c r="A8" t="s">
        <v>60</v>
      </c>
      <c r="B8">
        <v>1491</v>
      </c>
      <c r="C8">
        <v>13.702999999999999</v>
      </c>
      <c r="D8">
        <v>0</v>
      </c>
      <c r="E8">
        <v>0</v>
      </c>
      <c r="F8">
        <v>9</v>
      </c>
      <c r="G8">
        <v>0.38600000000000001</v>
      </c>
      <c r="H8">
        <v>0</v>
      </c>
      <c r="I8">
        <v>0</v>
      </c>
      <c r="J8">
        <v>5</v>
      </c>
      <c r="K8">
        <v>2.5000000000000001E-2</v>
      </c>
      <c r="L8">
        <v>0</v>
      </c>
      <c r="M8">
        <v>0</v>
      </c>
      <c r="N8">
        <v>1475</v>
      </c>
      <c r="O8">
        <v>4.8159999999999998</v>
      </c>
      <c r="P8">
        <v>0</v>
      </c>
      <c r="Q8">
        <v>0</v>
      </c>
      <c r="R8">
        <v>152</v>
      </c>
      <c r="S8">
        <v>1.9910000000000001</v>
      </c>
      <c r="T8">
        <v>0</v>
      </c>
      <c r="U8">
        <v>0</v>
      </c>
      <c r="V8">
        <v>34</v>
      </c>
      <c r="W8">
        <v>1.2589999999999999</v>
      </c>
      <c r="X8">
        <v>43</v>
      </c>
      <c r="Y8">
        <v>0.56899999999999995</v>
      </c>
      <c r="Z8">
        <v>0</v>
      </c>
      <c r="AA8">
        <v>0</v>
      </c>
      <c r="AB8">
        <v>75</v>
      </c>
      <c r="AC8">
        <v>0.16200000000000001</v>
      </c>
    </row>
    <row r="9" spans="1:29">
      <c r="A9" t="s">
        <v>61</v>
      </c>
      <c r="B9">
        <v>703</v>
      </c>
      <c r="C9">
        <v>6.17</v>
      </c>
      <c r="D9">
        <v>0</v>
      </c>
      <c r="E9">
        <v>0</v>
      </c>
      <c r="F9">
        <v>6</v>
      </c>
      <c r="G9">
        <v>3.7080000000000002</v>
      </c>
      <c r="H9">
        <v>0</v>
      </c>
      <c r="I9">
        <v>0</v>
      </c>
      <c r="J9">
        <v>13</v>
      </c>
      <c r="K9">
        <v>6.0999999999999999E-2</v>
      </c>
      <c r="L9">
        <v>0</v>
      </c>
      <c r="M9">
        <v>0</v>
      </c>
      <c r="N9">
        <v>684</v>
      </c>
      <c r="O9">
        <v>2.4009999999999998</v>
      </c>
      <c r="P9">
        <v>0</v>
      </c>
      <c r="Q9">
        <v>0</v>
      </c>
      <c r="R9">
        <v>109</v>
      </c>
      <c r="S9">
        <v>2.093</v>
      </c>
      <c r="T9">
        <v>0</v>
      </c>
      <c r="U9">
        <v>0</v>
      </c>
      <c r="V9">
        <v>26</v>
      </c>
      <c r="W9">
        <v>1.49</v>
      </c>
      <c r="X9">
        <v>27</v>
      </c>
      <c r="Y9">
        <v>0.42399999999999999</v>
      </c>
      <c r="Z9">
        <v>0</v>
      </c>
      <c r="AA9">
        <v>0</v>
      </c>
      <c r="AB9">
        <v>56</v>
      </c>
      <c r="AC9">
        <v>0.17899999999999999</v>
      </c>
    </row>
  </sheetData>
  <hyperlinks>
    <hyperlink ref="A2" r:id="rId1"/>
    <hyperlink ref="A3"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FF00"/>
  </sheetPr>
  <dimension ref="A1:F150"/>
  <sheetViews>
    <sheetView topLeftCell="A7" workbookViewId="0">
      <selection activeCell="E35" sqref="E35:F38"/>
    </sheetView>
  </sheetViews>
  <sheetFormatPr defaultRowHeight="15"/>
  <cols>
    <col min="2" max="2" width="18.42578125" customWidth="1"/>
    <col min="3" max="3" width="19.7109375" customWidth="1"/>
    <col min="4" max="6" width="9.140625" style="109"/>
  </cols>
  <sheetData>
    <row r="1" spans="1:6">
      <c r="A1" s="1" t="s">
        <v>1102</v>
      </c>
    </row>
    <row r="2" spans="1:6" ht="30">
      <c r="B2" s="1" t="s">
        <v>1097</v>
      </c>
      <c r="C2" s="1" t="s">
        <v>557</v>
      </c>
      <c r="D2" s="110" t="s">
        <v>230</v>
      </c>
      <c r="E2" s="110" t="s">
        <v>258</v>
      </c>
      <c r="F2" s="110" t="s">
        <v>236</v>
      </c>
    </row>
    <row r="3" spans="1:6">
      <c r="B3" t="s">
        <v>1095</v>
      </c>
      <c r="C3" t="s">
        <v>59</v>
      </c>
      <c r="D3" s="24">
        <f>pv!C157</f>
        <v>5</v>
      </c>
      <c r="E3" s="24">
        <f>pv!D157</f>
        <v>21</v>
      </c>
      <c r="F3" s="24">
        <f>pv!E157</f>
        <v>75.097766355140195</v>
      </c>
    </row>
    <row r="4" spans="1:6">
      <c r="B4" t="s">
        <v>1095</v>
      </c>
      <c r="C4" t="s">
        <v>61</v>
      </c>
      <c r="D4" s="24">
        <f>pv!C158</f>
        <v>7</v>
      </c>
      <c r="E4" s="24">
        <f>pv!D158</f>
        <v>29.400000000000002</v>
      </c>
      <c r="F4" s="24">
        <f>pv!E158</f>
        <v>105.13687289719627</v>
      </c>
    </row>
    <row r="5" spans="1:6">
      <c r="B5" t="s">
        <v>1095</v>
      </c>
      <c r="C5" t="s">
        <v>227</v>
      </c>
      <c r="D5" s="24">
        <f>pv!C159</f>
        <v>0</v>
      </c>
      <c r="E5" s="24">
        <f>pv!D159</f>
        <v>0</v>
      </c>
      <c r="F5" s="24">
        <f>pv!E159</f>
        <v>0</v>
      </c>
    </row>
    <row r="6" spans="1:6">
      <c r="B6" t="s">
        <v>1095</v>
      </c>
      <c r="C6" t="s">
        <v>228</v>
      </c>
      <c r="D6" s="24">
        <f>pv!C160</f>
        <v>12</v>
      </c>
      <c r="E6" s="24">
        <f>pv!D160</f>
        <v>50.400000000000006</v>
      </c>
      <c r="F6" s="24">
        <f>pv!E160</f>
        <v>180.23463925233648</v>
      </c>
    </row>
    <row r="7" spans="1:6">
      <c r="B7" t="s">
        <v>1096</v>
      </c>
      <c r="C7" t="s">
        <v>59</v>
      </c>
      <c r="D7" s="24">
        <f>wind!C51</f>
        <v>46</v>
      </c>
      <c r="E7" s="24">
        <f>wind!D51</f>
        <v>115</v>
      </c>
      <c r="F7" s="24">
        <f>wind!E51</f>
        <v>325</v>
      </c>
    </row>
    <row r="8" spans="1:6">
      <c r="B8" t="s">
        <v>1096</v>
      </c>
      <c r="C8" t="s">
        <v>61</v>
      </c>
      <c r="D8" s="24">
        <f>wind!C52</f>
        <v>175</v>
      </c>
      <c r="E8" s="24">
        <f>wind!D52</f>
        <v>437</v>
      </c>
      <c r="F8" s="24">
        <f>wind!E52</f>
        <v>966</v>
      </c>
    </row>
    <row r="9" spans="1:6">
      <c r="B9" t="s">
        <v>1096</v>
      </c>
      <c r="C9" t="s">
        <v>227</v>
      </c>
      <c r="D9" s="24">
        <f>wind!C53</f>
        <v>0</v>
      </c>
      <c r="E9" s="24">
        <f>wind!D53</f>
        <v>0</v>
      </c>
      <c r="F9" s="24">
        <f>wind!E53</f>
        <v>0</v>
      </c>
    </row>
    <row r="10" spans="1:6">
      <c r="B10" t="s">
        <v>1096</v>
      </c>
      <c r="C10" t="s">
        <v>228</v>
      </c>
      <c r="D10" s="24">
        <f>wind!C54</f>
        <v>221</v>
      </c>
      <c r="E10" s="24">
        <f>wind!D54</f>
        <v>552</v>
      </c>
      <c r="F10" s="24">
        <f>wind!E54</f>
        <v>1291</v>
      </c>
    </row>
    <row r="11" spans="1:6">
      <c r="B11" t="s">
        <v>1153</v>
      </c>
      <c r="C11" t="s">
        <v>59</v>
      </c>
      <c r="D11" s="24">
        <f>wind!C63</f>
        <v>6</v>
      </c>
      <c r="E11" s="24">
        <f>wind!D63</f>
        <v>1.35</v>
      </c>
      <c r="F11" s="24">
        <f>wind!E63</f>
        <v>2.4000000000000004</v>
      </c>
    </row>
    <row r="12" spans="1:6">
      <c r="B12" t="s">
        <v>1153</v>
      </c>
      <c r="C12" t="s">
        <v>61</v>
      </c>
      <c r="D12" s="24">
        <f>wind!C64</f>
        <v>3</v>
      </c>
      <c r="E12" s="24">
        <f>wind!D64</f>
        <v>0.67500000000000004</v>
      </c>
      <c r="F12" s="24">
        <f>wind!E64</f>
        <v>1.2000000000000002</v>
      </c>
    </row>
    <row r="13" spans="1:6">
      <c r="B13" t="s">
        <v>1153</v>
      </c>
      <c r="C13" t="s">
        <v>227</v>
      </c>
      <c r="D13" s="24">
        <f>wind!C65</f>
        <v>3</v>
      </c>
      <c r="E13" s="24">
        <f>wind!D65</f>
        <v>0.67500000000000004</v>
      </c>
      <c r="F13" s="24">
        <f>wind!E65</f>
        <v>1.2000000000000002</v>
      </c>
    </row>
    <row r="14" spans="1:6">
      <c r="B14" t="s">
        <v>1153</v>
      </c>
      <c r="C14" t="s">
        <v>228</v>
      </c>
      <c r="D14" s="24">
        <f>wind!C66</f>
        <v>10</v>
      </c>
      <c r="E14" s="24">
        <f>wind!D66</f>
        <v>2.25</v>
      </c>
      <c r="F14" s="24">
        <f>wind!E66</f>
        <v>4</v>
      </c>
    </row>
    <row r="15" spans="1:6">
      <c r="B15" t="s">
        <v>66</v>
      </c>
      <c r="C15" t="s">
        <v>59</v>
      </c>
      <c r="D15" s="24">
        <f>hydro!J150</f>
        <v>27</v>
      </c>
      <c r="E15" s="24">
        <f>hydro!K150</f>
        <v>1.478</v>
      </c>
      <c r="F15" s="24">
        <f>hydro!L150</f>
        <v>6.5318310876632264</v>
      </c>
    </row>
    <row r="16" spans="1:6">
      <c r="B16" t="s">
        <v>66</v>
      </c>
      <c r="C16" t="s">
        <v>61</v>
      </c>
      <c r="D16" s="24">
        <f>hydro!J151</f>
        <v>46</v>
      </c>
      <c r="E16" s="24">
        <f>hydro!K151</f>
        <v>4.8930000000000007</v>
      </c>
      <c r="F16" s="24">
        <f>hydro!L151</f>
        <v>21.853072153325819</v>
      </c>
    </row>
    <row r="17" spans="2:6">
      <c r="B17" t="s">
        <v>66</v>
      </c>
      <c r="C17" t="s">
        <v>227</v>
      </c>
      <c r="D17" s="24">
        <f>hydro!J152</f>
        <v>31</v>
      </c>
      <c r="E17" s="24">
        <f>hydro!K152</f>
        <v>3.8150000000000004</v>
      </c>
      <c r="F17" s="24">
        <f>hydro!L152</f>
        <v>16.979416009019168</v>
      </c>
    </row>
    <row r="18" spans="2:6">
      <c r="B18" t="s">
        <v>66</v>
      </c>
      <c r="C18" t="s">
        <v>228</v>
      </c>
      <c r="D18" s="24">
        <f>hydro!J153</f>
        <v>75</v>
      </c>
      <c r="E18" s="24">
        <f>hydro!K153</f>
        <v>6.3810000000000002</v>
      </c>
      <c r="F18" s="24">
        <f>hydro!L153</f>
        <v>28.432355326671118</v>
      </c>
    </row>
    <row r="19" spans="2:6">
      <c r="B19" t="s">
        <v>1101</v>
      </c>
      <c r="C19" t="s">
        <v>59</v>
      </c>
      <c r="D19" s="24">
        <v>0</v>
      </c>
      <c r="E19" s="24">
        <v>0</v>
      </c>
      <c r="F19" s="24">
        <v>0</v>
      </c>
    </row>
    <row r="20" spans="2:6">
      <c r="B20" t="s">
        <v>1101</v>
      </c>
      <c r="C20" t="s">
        <v>61</v>
      </c>
      <c r="D20" s="24">
        <v>0</v>
      </c>
      <c r="E20" s="24">
        <v>0</v>
      </c>
      <c r="F20" s="24">
        <v>0</v>
      </c>
    </row>
    <row r="21" spans="2:6">
      <c r="B21" t="s">
        <v>1101</v>
      </c>
      <c r="C21" t="s">
        <v>227</v>
      </c>
      <c r="D21" s="24">
        <v>1</v>
      </c>
      <c r="E21" s="24">
        <f>geothermal!B12</f>
        <v>20.3125</v>
      </c>
      <c r="F21" s="24">
        <f>geothermal!B14</f>
        <v>169.04062500000001</v>
      </c>
    </row>
    <row r="22" spans="2:6">
      <c r="B22" t="s">
        <v>1101</v>
      </c>
      <c r="C22" t="s">
        <v>228</v>
      </c>
      <c r="D22" s="24">
        <f>D21</f>
        <v>1</v>
      </c>
      <c r="E22" s="24">
        <f>E21</f>
        <v>20.3125</v>
      </c>
      <c r="F22" s="24">
        <f>F21</f>
        <v>169.04062500000001</v>
      </c>
    </row>
    <row r="23" spans="2:6">
      <c r="B23" t="s">
        <v>599</v>
      </c>
      <c r="C23" t="s">
        <v>59</v>
      </c>
      <c r="D23" s="24">
        <v>0</v>
      </c>
      <c r="E23" s="24">
        <f>'wood and waste'!C108</f>
        <v>68.801203975509111</v>
      </c>
      <c r="F23" s="24">
        <f>'wood and waste'!D108</f>
        <v>90.244514404768196</v>
      </c>
    </row>
    <row r="24" spans="2:6">
      <c r="B24" t="s">
        <v>599</v>
      </c>
      <c r="C24" t="s">
        <v>61</v>
      </c>
      <c r="D24" s="24">
        <v>0</v>
      </c>
      <c r="E24" s="24">
        <f>'wood and waste'!C109</f>
        <v>92.058206086811296</v>
      </c>
      <c r="F24" s="24">
        <f>'wood and waste'!D109</f>
        <v>120.41189130982447</v>
      </c>
    </row>
    <row r="25" spans="2:6">
      <c r="B25" t="s">
        <v>599</v>
      </c>
      <c r="C25" t="s">
        <v>227</v>
      </c>
      <c r="D25" s="24">
        <v>0</v>
      </c>
      <c r="E25" s="24">
        <f>'wood and waste'!C110</f>
        <v>76.334752711546557</v>
      </c>
      <c r="F25" s="24">
        <f>'wood and waste'!D110</f>
        <v>99.027184575314791</v>
      </c>
    </row>
    <row r="26" spans="2:6">
      <c r="B26" t="s">
        <v>599</v>
      </c>
      <c r="C26" t="s">
        <v>228</v>
      </c>
      <c r="D26" s="24">
        <v>0</v>
      </c>
      <c r="E26" s="24">
        <f>'wood and waste'!C111</f>
        <v>190.08674547549936</v>
      </c>
      <c r="F26" s="24">
        <f>'wood and waste'!D111</f>
        <v>252.56778199820346</v>
      </c>
    </row>
    <row r="27" spans="2:6">
      <c r="B27" t="s">
        <v>600</v>
      </c>
      <c r="C27" t="s">
        <v>59</v>
      </c>
      <c r="D27" s="24">
        <v>0</v>
      </c>
      <c r="E27" s="24">
        <f>'wood and waste'!C116</f>
        <v>0.92140199560290881</v>
      </c>
      <c r="F27" s="24">
        <f>'wood and waste'!G116</f>
        <v>10.8965</v>
      </c>
    </row>
    <row r="28" spans="2:6">
      <c r="B28" t="s">
        <v>600</v>
      </c>
      <c r="C28" t="s">
        <v>61</v>
      </c>
      <c r="D28" s="24">
        <v>0</v>
      </c>
      <c r="E28" s="24">
        <f>'wood and waste'!C117</f>
        <v>0.4996617622188399</v>
      </c>
      <c r="F28" s="24">
        <f>'wood and waste'!G117</f>
        <v>5.9089999999999998</v>
      </c>
    </row>
    <row r="29" spans="2:6">
      <c r="B29" t="s">
        <v>600</v>
      </c>
      <c r="C29" t="s">
        <v>227</v>
      </c>
      <c r="D29" s="24">
        <v>0</v>
      </c>
      <c r="E29" s="24">
        <f>'wood and waste'!C118</f>
        <v>0.26790881458838534</v>
      </c>
      <c r="F29" s="24">
        <f>'wood and waste'!G118</f>
        <v>3.1682896413222452</v>
      </c>
    </row>
    <row r="30" spans="2:6">
      <c r="B30" t="s">
        <v>600</v>
      </c>
      <c r="C30" t="s">
        <v>228</v>
      </c>
      <c r="D30" s="24">
        <v>0</v>
      </c>
      <c r="E30" s="24">
        <f>'wood and waste'!C119</f>
        <v>1.532964144697982</v>
      </c>
      <c r="F30" s="24">
        <f>'wood and waste'!G119</f>
        <v>18.128833975198337</v>
      </c>
    </row>
    <row r="31" spans="2:6">
      <c r="B31" t="s">
        <v>603</v>
      </c>
      <c r="C31" t="s">
        <v>59</v>
      </c>
      <c r="D31" s="24">
        <v>0</v>
      </c>
      <c r="E31" s="24">
        <f>'wood and waste'!C124</f>
        <v>0.66376470065956361</v>
      </c>
      <c r="F31" s="24">
        <f>'wood and waste'!G124</f>
        <v>9.5940549833333328</v>
      </c>
    </row>
    <row r="32" spans="2:6">
      <c r="B32" t="s">
        <v>603</v>
      </c>
      <c r="C32" t="s">
        <v>61</v>
      </c>
      <c r="D32" s="24">
        <v>0</v>
      </c>
      <c r="E32" s="24">
        <f>'wood and waste'!C125</f>
        <v>0.66499512261119575</v>
      </c>
      <c r="F32" s="24">
        <f>'wood and waste'!G125</f>
        <v>9.6118395022222227</v>
      </c>
    </row>
    <row r="33" spans="2:6">
      <c r="B33" t="s">
        <v>603</v>
      </c>
      <c r="C33" t="s">
        <v>227</v>
      </c>
      <c r="D33" s="24">
        <v>0</v>
      </c>
      <c r="E33" s="24">
        <f>'wood and waste'!C126</f>
        <v>8.0504889934001622E-2</v>
      </c>
      <c r="F33" s="24">
        <f>'wood and waste'!G126</f>
        <v>1.1636176791060595</v>
      </c>
    </row>
    <row r="34" spans="2:6">
      <c r="B34" t="s">
        <v>603</v>
      </c>
      <c r="C34" t="s">
        <v>228</v>
      </c>
      <c r="D34" s="24">
        <v>0</v>
      </c>
      <c r="E34" s="24">
        <f>'wood and waste'!C127</f>
        <v>1.3623849509558801</v>
      </c>
      <c r="F34" s="24">
        <f>'wood and waste'!G127</f>
        <v>19.691912081116293</v>
      </c>
    </row>
    <row r="35" spans="2:6">
      <c r="B35" t="s">
        <v>1268</v>
      </c>
      <c r="C35" t="s">
        <v>59</v>
      </c>
      <c r="D35" s="24">
        <v>0</v>
      </c>
      <c r="E35" s="24">
        <f>'wood and waste'!D143</f>
        <v>3.0220049940412008</v>
      </c>
      <c r="F35" s="24">
        <f>'wood and waste'!E143</f>
        <v>25.40722717212417</v>
      </c>
    </row>
    <row r="36" spans="2:6">
      <c r="B36" t="s">
        <v>1268</v>
      </c>
      <c r="C36" t="s">
        <v>61</v>
      </c>
      <c r="D36" s="24">
        <v>0</v>
      </c>
      <c r="E36" s="24">
        <f>'wood and waste'!D144</f>
        <v>1.915328301458487</v>
      </c>
      <c r="F36" s="24">
        <f>'wood and waste'!E144</f>
        <v>16.102945349299134</v>
      </c>
    </row>
    <row r="37" spans="2:6">
      <c r="B37" t="s">
        <v>1268</v>
      </c>
      <c r="C37" t="s">
        <v>227</v>
      </c>
      <c r="D37" s="24">
        <v>0</v>
      </c>
      <c r="E37" s="24">
        <f>'wood and waste'!D145</f>
        <v>1.3837028132754823</v>
      </c>
      <c r="F37" s="24">
        <f>'wood and waste'!E145</f>
        <v>11.633353281982759</v>
      </c>
    </row>
    <row r="38" spans="2:6">
      <c r="B38" t="s">
        <v>1268</v>
      </c>
      <c r="C38" t="s">
        <v>228</v>
      </c>
      <c r="D38" s="24">
        <v>0</v>
      </c>
      <c r="E38" s="24">
        <f>'wood and waste'!D146</f>
        <v>5.5098771610320325</v>
      </c>
      <c r="F38" s="24">
        <f>'wood and waste'!E146</f>
        <v>46.323782057565609</v>
      </c>
    </row>
    <row r="39" spans="2:6">
      <c r="B39" t="s">
        <v>1103</v>
      </c>
      <c r="C39" t="s">
        <v>59</v>
      </c>
      <c r="D39" s="24">
        <f>'roof solar'!C82</f>
        <v>10267.950000000001</v>
      </c>
      <c r="E39" s="24">
        <f>'roof solar'!D82</f>
        <v>20.535900000000002</v>
      </c>
      <c r="F39" s="24">
        <f>'roof solar'!E82</f>
        <v>19.693928100000001</v>
      </c>
    </row>
    <row r="40" spans="2:6">
      <c r="B40" t="s">
        <v>1103</v>
      </c>
      <c r="C40" t="s">
        <v>61</v>
      </c>
      <c r="D40" s="24">
        <f>'roof solar'!C83</f>
        <v>7111.25</v>
      </c>
      <c r="E40" s="24">
        <f>'roof solar'!D83</f>
        <v>14.2225</v>
      </c>
      <c r="F40" s="24">
        <f>'roof solar'!E83</f>
        <v>13.6393775</v>
      </c>
    </row>
    <row r="41" spans="2:6">
      <c r="B41" t="s">
        <v>1103</v>
      </c>
      <c r="C41" t="s">
        <v>227</v>
      </c>
      <c r="D41" s="24">
        <f>'roof solar'!C84</f>
        <v>3855.9453929376023</v>
      </c>
      <c r="E41" s="24">
        <f>'roof solar'!D84</f>
        <v>7.7118907858752044</v>
      </c>
      <c r="F41" s="24">
        <f>'roof solar'!E84</f>
        <v>7.3957032636543207</v>
      </c>
    </row>
    <row r="42" spans="2:6">
      <c r="B42" t="s">
        <v>1103</v>
      </c>
      <c r="C42" t="s">
        <v>228</v>
      </c>
      <c r="D42" s="24">
        <f>'roof solar'!C85</f>
        <v>19250.077708438435</v>
      </c>
      <c r="E42" s="24">
        <f>'roof solar'!D85</f>
        <v>38.500155416876872</v>
      </c>
      <c r="F42" s="24">
        <f>'roof solar'!E85</f>
        <v>36.921649044784921</v>
      </c>
    </row>
    <row r="43" spans="2:6">
      <c r="B43" t="s">
        <v>1104</v>
      </c>
      <c r="C43" t="s">
        <v>59</v>
      </c>
      <c r="D43" s="24">
        <f>'roof solar'!F82+'roof solar'!I82+'roof solar'!L82</f>
        <v>1893</v>
      </c>
      <c r="E43" s="24">
        <f>'roof solar'!G82+'roof solar'!J82+'roof solar'!M82</f>
        <v>11.2</v>
      </c>
      <c r="F43" s="24">
        <f>'roof solar'!H82+'roof solar'!K82+'roof solar'!N82</f>
        <v>10.7408</v>
      </c>
    </row>
    <row r="44" spans="2:6">
      <c r="B44" t="s">
        <v>1104</v>
      </c>
      <c r="C44" t="s">
        <v>61</v>
      </c>
      <c r="D44" s="24">
        <f>'roof solar'!F83+'roof solar'!I83+'roof solar'!L83</f>
        <v>1212</v>
      </c>
      <c r="E44" s="24">
        <f>'roof solar'!G83+'roof solar'!J83+'roof solar'!M83</f>
        <v>6.97</v>
      </c>
      <c r="F44" s="24">
        <f>'roof solar'!H83+'roof solar'!K83+'roof solar'!N83</f>
        <v>6.6842299999999994</v>
      </c>
    </row>
    <row r="45" spans="2:6">
      <c r="B45" t="s">
        <v>1104</v>
      </c>
      <c r="C45" t="s">
        <v>227</v>
      </c>
      <c r="D45" s="24">
        <f>'roof solar'!F84+'roof solar'!I84+'roof solar'!L84</f>
        <v>764.25491837383197</v>
      </c>
      <c r="E45" s="24">
        <f>'roof solar'!G84+'roof solar'!J84+'roof solar'!M84</f>
        <v>4.3444113877862014</v>
      </c>
      <c r="F45" s="24">
        <f>'roof solar'!H84+'roof solar'!K84+'roof solar'!N84</f>
        <v>4.1662905208869665</v>
      </c>
    </row>
    <row r="46" spans="2:6">
      <c r="B46" t="s">
        <v>1104</v>
      </c>
      <c r="C46" t="s">
        <v>228</v>
      </c>
      <c r="D46" s="24">
        <f>'roof solar'!F85+'roof solar'!I85+'roof solar'!L85</f>
        <v>3446.3042724271968</v>
      </c>
      <c r="E46" s="24">
        <f>'roof solar'!G85+'roof solar'!J85+'roof solar'!M85</f>
        <v>20.194172185528323</v>
      </c>
      <c r="F46" s="24">
        <f>'roof solar'!H85+'roof solar'!K85+'roof solar'!N85</f>
        <v>19.366211125921666</v>
      </c>
    </row>
    <row r="47" spans="2:6">
      <c r="B47" t="s">
        <v>1105</v>
      </c>
      <c r="C47" t="s">
        <v>59</v>
      </c>
      <c r="D47" s="24">
        <f>'roof solar'!C75</f>
        <v>9214.5</v>
      </c>
      <c r="E47" s="24">
        <f>'roof solar'!D75</f>
        <v>18.428999999999998</v>
      </c>
      <c r="F47" s="24">
        <f>'roof solar'!E75</f>
        <v>12.915043199999998</v>
      </c>
    </row>
    <row r="48" spans="2:6">
      <c r="B48" t="s">
        <v>1105</v>
      </c>
      <c r="C48" t="s">
        <v>61</v>
      </c>
      <c r="D48" s="24">
        <f>'roof solar'!C76</f>
        <v>5681.25</v>
      </c>
      <c r="E48" s="24">
        <f>'roof solar'!D76</f>
        <v>11.362500000000001</v>
      </c>
      <c r="F48" s="24">
        <f>'roof solar'!E76</f>
        <v>7.9628399999999999</v>
      </c>
    </row>
    <row r="49" spans="2:6">
      <c r="B49" t="s">
        <v>1105</v>
      </c>
      <c r="C49" t="s">
        <v>227</v>
      </c>
      <c r="D49" s="24">
        <f>'roof solar'!C77</f>
        <v>3530.9453929376023</v>
      </c>
      <c r="E49" s="24">
        <f>'roof solar'!D77</f>
        <v>7.0618907858752049</v>
      </c>
      <c r="F49" s="24">
        <f>'roof solar'!E77</f>
        <v>4.9489730627413442</v>
      </c>
    </row>
    <row r="50" spans="2:6">
      <c r="B50" t="s">
        <v>1105</v>
      </c>
      <c r="C50" t="s">
        <v>228</v>
      </c>
      <c r="D50" s="24">
        <f>'roof solar'!C78</f>
        <v>16441.627708438435</v>
      </c>
      <c r="E50" s="24">
        <f>'roof solar'!D78</f>
        <v>32.883255416876871</v>
      </c>
      <c r="F50" s="24">
        <f>'roof solar'!E78</f>
        <v>23.044585396147308</v>
      </c>
    </row>
    <row r="51" spans="2:6">
      <c r="B51" t="s">
        <v>1106</v>
      </c>
      <c r="C51" t="s">
        <v>59</v>
      </c>
      <c r="D51" s="24">
        <f>'roof solar'!F75</f>
        <v>268</v>
      </c>
      <c r="E51" s="24">
        <f>'roof solar'!G75</f>
        <v>2.68</v>
      </c>
      <c r="F51" s="24">
        <f>'roof solar'!H75</f>
        <v>1.8781440000000005</v>
      </c>
    </row>
    <row r="52" spans="2:6">
      <c r="B52" t="s">
        <v>1106</v>
      </c>
      <c r="C52" t="s">
        <v>61</v>
      </c>
      <c r="D52" s="24">
        <f>'roof solar'!F76</f>
        <v>128</v>
      </c>
      <c r="E52" s="24">
        <f>'roof solar'!G76</f>
        <v>1.28</v>
      </c>
      <c r="F52" s="24">
        <f>'roof solar'!H76</f>
        <v>0.89702400000000015</v>
      </c>
    </row>
    <row r="53" spans="2:6">
      <c r="B53" t="s">
        <v>1106</v>
      </c>
      <c r="C53" t="s">
        <v>227</v>
      </c>
      <c r="D53" s="24">
        <f>'roof solar'!F77</f>
        <v>78.627359183408259</v>
      </c>
      <c r="E53" s="24">
        <f>'roof solar'!G77</f>
        <v>0.78627359183408263</v>
      </c>
      <c r="F53" s="24">
        <f>'roof solar'!H77</f>
        <v>0.55102053315732513</v>
      </c>
    </row>
    <row r="54" spans="2:6">
      <c r="B54" t="s">
        <v>1106</v>
      </c>
      <c r="C54" t="s">
        <v>228</v>
      </c>
      <c r="D54" s="24">
        <f>'roof solar'!F78</f>
        <v>442.53016467846822</v>
      </c>
      <c r="E54" s="24">
        <f>'roof solar'!G78</f>
        <v>4.425301646784682</v>
      </c>
      <c r="F54" s="24">
        <f>'roof solar'!H78</f>
        <v>3.1012513940667055</v>
      </c>
    </row>
    <row r="55" spans="2:6">
      <c r="B55" t="s">
        <v>1107</v>
      </c>
      <c r="C55" t="s">
        <v>59</v>
      </c>
      <c r="D55" s="24">
        <f>'space heating'!C66</f>
        <v>15299.197432083361</v>
      </c>
      <c r="E55" s="24">
        <f>'space heating'!D66</f>
        <v>152.99197432083363</v>
      </c>
      <c r="F55" s="24">
        <f>'space heating'!E66</f>
        <v>167.52621188131283</v>
      </c>
    </row>
    <row r="56" spans="2:6">
      <c r="B56" t="s">
        <v>1107</v>
      </c>
      <c r="C56" t="s">
        <v>61</v>
      </c>
      <c r="D56" s="24">
        <f>'space heating'!C67</f>
        <v>10884.558976886932</v>
      </c>
      <c r="E56" s="24">
        <f>'space heating'!D67</f>
        <v>108.84558976886932</v>
      </c>
      <c r="F56" s="24">
        <f>'space heating'!E67</f>
        <v>119.1859207969119</v>
      </c>
    </row>
    <row r="57" spans="2:6">
      <c r="B57" t="s">
        <v>1107</v>
      </c>
      <c r="C57" t="s">
        <v>227</v>
      </c>
      <c r="D57" s="24">
        <f>'space heating'!C68</f>
        <v>7151.1442321113518</v>
      </c>
      <c r="E57" s="24">
        <f>'space heating'!D68</f>
        <v>71.51144232111352</v>
      </c>
      <c r="F57" s="24">
        <f>'space heating'!E68</f>
        <v>78.305029341619303</v>
      </c>
    </row>
    <row r="58" spans="2:6">
      <c r="B58" t="s">
        <v>1107</v>
      </c>
      <c r="C58" t="s">
        <v>228</v>
      </c>
      <c r="D58" s="24">
        <f>'space heating'!C69</f>
        <v>28946.904194810311</v>
      </c>
      <c r="E58" s="24">
        <f>'space heating'!D69</f>
        <v>289.4690419481031</v>
      </c>
      <c r="F58" s="24">
        <f>'space heating'!E69</f>
        <v>316.96860093317292</v>
      </c>
    </row>
    <row r="59" spans="2:6">
      <c r="B59" t="s">
        <v>1108</v>
      </c>
      <c r="C59" t="s">
        <v>59</v>
      </c>
      <c r="D59" s="24">
        <f>'space heating'!F66+'space heating'!I66</f>
        <v>71.5</v>
      </c>
      <c r="E59" s="24">
        <f>'space heating'!G66+'space heating'!J66</f>
        <v>33.606249999999996</v>
      </c>
      <c r="F59" s="24">
        <f>'space heating'!H66+'space heating'!K66</f>
        <v>115.0088355</v>
      </c>
    </row>
    <row r="60" spans="2:6">
      <c r="B60" t="s">
        <v>1108</v>
      </c>
      <c r="C60" t="s">
        <v>61</v>
      </c>
      <c r="D60" s="24">
        <f>'space heating'!F67+'space heating'!I67</f>
        <v>47.75</v>
      </c>
      <c r="E60" s="24">
        <f>'space heating'!G67+'space heating'!J67</f>
        <v>17.09375</v>
      </c>
      <c r="F60" s="24">
        <f>'space heating'!H67+'space heating'!K67</f>
        <v>55.561833</v>
      </c>
    </row>
    <row r="61" spans="2:6">
      <c r="B61" t="s">
        <v>1108</v>
      </c>
      <c r="C61" t="s">
        <v>227</v>
      </c>
      <c r="D61" s="24">
        <f>'space heating'!F68+'space heating'!I68</f>
        <v>26.828419897926032</v>
      </c>
      <c r="E61" s="24">
        <f>'space heating'!G68+'space heating'!J68</f>
        <v>8.2283653073841183</v>
      </c>
      <c r="F61" s="24">
        <f>'space heating'!H68+'space heating'!K68</f>
        <v>27.694444847269288</v>
      </c>
    </row>
    <row r="62" spans="2:6">
      <c r="B62" t="s">
        <v>1108</v>
      </c>
      <c r="C62" t="s">
        <v>228</v>
      </c>
      <c r="D62" s="24">
        <f>'space heating'!F69+'space heating'!I69</f>
        <v>135.31627058480854</v>
      </c>
      <c r="E62" s="24">
        <f>'space heating'!G69+'space heating'!J69</f>
        <v>56.274542969157558</v>
      </c>
      <c r="F62" s="24">
        <f>'space heating'!H69+'space heating'!K69</f>
        <v>189.0667901690083</v>
      </c>
    </row>
    <row r="63" spans="2:6">
      <c r="B63" t="s">
        <v>1109</v>
      </c>
      <c r="C63" t="s">
        <v>59</v>
      </c>
      <c r="D63" s="24">
        <f>'space heating'!C73</f>
        <v>11597.28055849361</v>
      </c>
      <c r="E63" s="24">
        <f>'space heating'!D73</f>
        <v>115.97280558493611</v>
      </c>
      <c r="F63" s="24">
        <f>'space heating'!E73</f>
        <v>132.06983100012525</v>
      </c>
    </row>
    <row r="64" spans="2:6">
      <c r="B64" t="s">
        <v>1109</v>
      </c>
      <c r="C64" t="s">
        <v>61</v>
      </c>
      <c r="D64" s="24">
        <f>'space heating'!C74</f>
        <v>6521.318315250116</v>
      </c>
      <c r="E64" s="24">
        <f>'space heating'!D74</f>
        <v>65.213183152501159</v>
      </c>
      <c r="F64" s="24">
        <f>'space heating'!E74</f>
        <v>74.264772974068322</v>
      </c>
    </row>
    <row r="65" spans="2:6">
      <c r="B65" t="s">
        <v>1109</v>
      </c>
      <c r="C65" t="s">
        <v>227</v>
      </c>
      <c r="D65" s="24">
        <f>'space heating'!C75</f>
        <v>2763.1477858400176</v>
      </c>
      <c r="E65" s="24">
        <f>'space heating'!D75</f>
        <v>27.631477858400174</v>
      </c>
      <c r="F65" s="24">
        <f>'space heating'!E75</f>
        <v>31.466726985146121</v>
      </c>
    </row>
    <row r="66" spans="2:6">
      <c r="B66" t="s">
        <v>1109</v>
      </c>
      <c r="C66" t="s">
        <v>228</v>
      </c>
      <c r="D66" s="24">
        <f>'space heating'!C76</f>
        <v>19972.109812856546</v>
      </c>
      <c r="E66" s="24">
        <f>'space heating'!D76</f>
        <v>199.72109812856547</v>
      </c>
      <c r="F66" s="24">
        <f>'space heating'!E76</f>
        <v>227.44238654881039</v>
      </c>
    </row>
    <row r="67" spans="2:6">
      <c r="B67" t="s">
        <v>1110</v>
      </c>
      <c r="C67" t="s">
        <v>59</v>
      </c>
      <c r="D67" s="24">
        <f>'space heating'!F73</f>
        <v>395</v>
      </c>
      <c r="E67" s="24">
        <f>'space heating'!G73</f>
        <v>21.725000000000001</v>
      </c>
      <c r="F67" s="24">
        <f>'space heating'!H73</f>
        <v>66.608850000000004</v>
      </c>
    </row>
    <row r="68" spans="2:6">
      <c r="B68" t="s">
        <v>1110</v>
      </c>
      <c r="C68" t="s">
        <v>61</v>
      </c>
      <c r="D68" s="24">
        <f>'space heating'!F74</f>
        <v>261</v>
      </c>
      <c r="E68" s="24">
        <f>'space heating'!G74</f>
        <v>14.355</v>
      </c>
      <c r="F68" s="24">
        <f>'space heating'!H74</f>
        <v>44.012430000000002</v>
      </c>
    </row>
    <row r="69" spans="2:6">
      <c r="B69" t="s">
        <v>1110</v>
      </c>
      <c r="C69" t="s">
        <v>227</v>
      </c>
      <c r="D69" s="24">
        <f>'space heating'!F75</f>
        <v>165.90688979760594</v>
      </c>
      <c r="E69" s="24">
        <f>'space heating'!G75</f>
        <v>9.1248789388683278</v>
      </c>
      <c r="F69" s="24">
        <f>'space heating'!H75</f>
        <v>27.976878826570289</v>
      </c>
    </row>
    <row r="70" spans="2:6">
      <c r="B70" t="s">
        <v>1110</v>
      </c>
      <c r="C70" t="s">
        <v>228</v>
      </c>
      <c r="D70" s="24">
        <f>'space heating'!F76</f>
        <v>726.44352693718213</v>
      </c>
      <c r="E70" s="24">
        <f>'space heating'!G76</f>
        <v>39.954393981545017</v>
      </c>
      <c r="F70" s="24">
        <f>'space heating'!H76</f>
        <v>122.500171947417</v>
      </c>
    </row>
    <row r="71" spans="2:6">
      <c r="B71" t="s">
        <v>1111</v>
      </c>
      <c r="C71" t="s">
        <v>59</v>
      </c>
      <c r="D71" s="24">
        <f>'micro wind'!L75</f>
        <v>21098.061723619623</v>
      </c>
      <c r="E71" s="24">
        <f>'micro wind'!M75</f>
        <v>109.30372250022732</v>
      </c>
      <c r="F71" s="24">
        <f>'micro wind'!N75</f>
        <v>163.77726871556209</v>
      </c>
    </row>
    <row r="72" spans="2:6">
      <c r="B72" t="s">
        <v>1111</v>
      </c>
      <c r="C72" t="s">
        <v>61</v>
      </c>
      <c r="D72" s="24">
        <f>'micro wind'!L76</f>
        <v>13452.342682760345</v>
      </c>
      <c r="E72" s="24">
        <f>'micro wind'!M76</f>
        <v>69.9762184726914</v>
      </c>
      <c r="F72" s="24">
        <f>'micro wind'!N76</f>
        <v>104.92195647900826</v>
      </c>
    </row>
    <row r="73" spans="2:6">
      <c r="B73" t="s">
        <v>1111</v>
      </c>
      <c r="C73" t="s">
        <v>227</v>
      </c>
      <c r="D73" s="24">
        <f>'micro wind'!L77</f>
        <v>10644.110917659262</v>
      </c>
      <c r="E73" s="24">
        <f>'micro wind'!M77</f>
        <v>58.602633391450752</v>
      </c>
      <c r="F73" s="24">
        <f>'micro wind'!N77</f>
        <v>88.685451956017445</v>
      </c>
    </row>
    <row r="74" spans="2:6">
      <c r="B74" t="s">
        <v>1111</v>
      </c>
      <c r="C74" t="s">
        <v>228</v>
      </c>
      <c r="D74" s="24">
        <f>'micro wind'!L78</f>
        <v>3260.0160287442986</v>
      </c>
      <c r="E74" s="24">
        <f>'micro wind'!M79</f>
        <v>193.57800503087975</v>
      </c>
      <c r="F74" s="24">
        <f>'micro wind'!N79</f>
        <v>289.46577236234799</v>
      </c>
    </row>
    <row r="75" spans="2:6">
      <c r="D75" s="24"/>
      <c r="E75" s="24"/>
      <c r="F75" s="24"/>
    </row>
    <row r="76" spans="2:6">
      <c r="D76" s="24"/>
      <c r="E76" s="24"/>
      <c r="F76" s="24"/>
    </row>
    <row r="77" spans="2:6">
      <c r="D77" s="24"/>
      <c r="E77" s="24"/>
      <c r="F77" s="24"/>
    </row>
    <row r="78" spans="2:6">
      <c r="D78" s="24"/>
      <c r="E78" s="24"/>
      <c r="F78" s="24"/>
    </row>
    <row r="79" spans="2:6">
      <c r="D79" s="24"/>
      <c r="E79" s="24"/>
      <c r="F79" s="24"/>
    </row>
    <row r="80" spans="2:6">
      <c r="D80" s="24"/>
      <c r="E80" s="24"/>
      <c r="F80" s="24"/>
    </row>
    <row r="81" spans="4:6">
      <c r="D81" s="24"/>
      <c r="E81" s="24"/>
      <c r="F81" s="24"/>
    </row>
    <row r="82" spans="4:6">
      <c r="D82" s="24"/>
      <c r="E82" s="24"/>
      <c r="F82" s="24"/>
    </row>
    <row r="83" spans="4:6">
      <c r="D83" s="24"/>
      <c r="E83" s="24"/>
      <c r="F83" s="24"/>
    </row>
    <row r="84" spans="4:6">
      <c r="D84" s="24"/>
      <c r="E84" s="24"/>
      <c r="F84" s="24"/>
    </row>
    <row r="85" spans="4:6">
      <c r="D85" s="24"/>
      <c r="E85" s="24"/>
      <c r="F85" s="24"/>
    </row>
    <row r="86" spans="4:6">
      <c r="D86" s="24"/>
      <c r="E86" s="24"/>
      <c r="F86" s="24"/>
    </row>
    <row r="87" spans="4:6">
      <c r="D87" s="24"/>
      <c r="E87" s="24"/>
      <c r="F87" s="24"/>
    </row>
    <row r="88" spans="4:6">
      <c r="D88" s="24"/>
      <c r="E88" s="24"/>
      <c r="F88" s="24"/>
    </row>
    <row r="89" spans="4:6">
      <c r="D89" s="24"/>
      <c r="E89" s="24"/>
      <c r="F89" s="24"/>
    </row>
    <row r="90" spans="4:6">
      <c r="D90" s="24"/>
      <c r="E90" s="24"/>
      <c r="F90" s="24"/>
    </row>
    <row r="91" spans="4:6">
      <c r="D91" s="24"/>
      <c r="E91" s="24"/>
      <c r="F91" s="24"/>
    </row>
    <row r="92" spans="4:6">
      <c r="D92" s="24"/>
      <c r="E92" s="24"/>
      <c r="F92" s="24"/>
    </row>
    <row r="93" spans="4:6">
      <c r="D93" s="24"/>
      <c r="E93" s="24"/>
      <c r="F93" s="24"/>
    </row>
    <row r="94" spans="4:6">
      <c r="D94" s="24"/>
      <c r="E94" s="24"/>
      <c r="F94" s="24"/>
    </row>
    <row r="95" spans="4:6">
      <c r="D95" s="24"/>
      <c r="E95" s="24"/>
      <c r="F95" s="24"/>
    </row>
    <row r="96" spans="4:6">
      <c r="D96" s="24"/>
      <c r="E96" s="24"/>
      <c r="F96" s="24"/>
    </row>
    <row r="97" spans="4:6">
      <c r="D97" s="24"/>
      <c r="E97" s="24"/>
      <c r="F97" s="24"/>
    </row>
    <row r="98" spans="4:6">
      <c r="D98" s="24"/>
      <c r="E98" s="24"/>
      <c r="F98" s="24"/>
    </row>
    <row r="99" spans="4:6">
      <c r="D99" s="24"/>
      <c r="E99" s="24"/>
      <c r="F99" s="24"/>
    </row>
    <row r="100" spans="4:6">
      <c r="D100" s="24"/>
      <c r="E100" s="24"/>
      <c r="F100" s="24"/>
    </row>
    <row r="101" spans="4:6">
      <c r="D101" s="24"/>
      <c r="E101" s="24"/>
      <c r="F101" s="24"/>
    </row>
    <row r="102" spans="4:6">
      <c r="D102" s="24"/>
      <c r="E102" s="24"/>
      <c r="F102" s="24"/>
    </row>
    <row r="103" spans="4:6">
      <c r="D103" s="24"/>
      <c r="E103" s="24"/>
      <c r="F103" s="24"/>
    </row>
    <row r="104" spans="4:6">
      <c r="D104" s="24"/>
      <c r="E104" s="24"/>
      <c r="F104" s="24"/>
    </row>
    <row r="105" spans="4:6">
      <c r="D105" s="24"/>
      <c r="E105" s="24"/>
      <c r="F105" s="24"/>
    </row>
    <row r="106" spans="4:6">
      <c r="D106" s="24"/>
      <c r="E106" s="24"/>
      <c r="F106" s="24"/>
    </row>
    <row r="107" spans="4:6">
      <c r="D107" s="24"/>
      <c r="E107" s="24"/>
      <c r="F107" s="24"/>
    </row>
    <row r="108" spans="4:6">
      <c r="D108" s="24"/>
      <c r="E108" s="24"/>
      <c r="F108" s="24"/>
    </row>
    <row r="109" spans="4:6">
      <c r="D109" s="24"/>
      <c r="E109" s="24"/>
      <c r="F109" s="24"/>
    </row>
    <row r="110" spans="4:6">
      <c r="D110" s="24"/>
      <c r="E110" s="24"/>
      <c r="F110" s="24"/>
    </row>
    <row r="111" spans="4:6">
      <c r="D111" s="24"/>
      <c r="E111" s="24"/>
      <c r="F111" s="24"/>
    </row>
    <row r="112" spans="4:6">
      <c r="D112" s="24"/>
      <c r="E112" s="24"/>
      <c r="F112" s="24"/>
    </row>
    <row r="113" spans="4:6">
      <c r="D113" s="24"/>
      <c r="E113" s="24"/>
      <c r="F113" s="24"/>
    </row>
    <row r="114" spans="4:6">
      <c r="D114" s="24"/>
      <c r="E114" s="24"/>
      <c r="F114" s="24"/>
    </row>
    <row r="115" spans="4:6">
      <c r="D115" s="24"/>
      <c r="E115" s="24"/>
      <c r="F115" s="24"/>
    </row>
    <row r="116" spans="4:6">
      <c r="D116" s="24"/>
      <c r="E116" s="24"/>
      <c r="F116" s="24"/>
    </row>
    <row r="117" spans="4:6">
      <c r="D117" s="24"/>
      <c r="E117" s="24"/>
      <c r="F117" s="24"/>
    </row>
    <row r="118" spans="4:6">
      <c r="D118" s="24"/>
      <c r="E118" s="24"/>
      <c r="F118" s="24"/>
    </row>
    <row r="119" spans="4:6">
      <c r="D119" s="24"/>
      <c r="E119" s="24"/>
      <c r="F119" s="24"/>
    </row>
    <row r="120" spans="4:6">
      <c r="D120" s="24"/>
      <c r="E120" s="24"/>
      <c r="F120" s="24"/>
    </row>
    <row r="121" spans="4:6">
      <c r="D121" s="24"/>
      <c r="E121" s="24"/>
      <c r="F121" s="24"/>
    </row>
    <row r="122" spans="4:6">
      <c r="D122" s="24"/>
      <c r="E122" s="24"/>
      <c r="F122" s="24"/>
    </row>
    <row r="123" spans="4:6">
      <c r="D123" s="24"/>
      <c r="E123" s="24"/>
      <c r="F123" s="24"/>
    </row>
    <row r="124" spans="4:6">
      <c r="D124" s="24"/>
      <c r="E124" s="24"/>
      <c r="F124" s="24"/>
    </row>
    <row r="125" spans="4:6">
      <c r="D125" s="24"/>
      <c r="E125" s="24"/>
      <c r="F125" s="24"/>
    </row>
    <row r="126" spans="4:6">
      <c r="D126" s="24"/>
      <c r="E126" s="24"/>
      <c r="F126" s="24"/>
    </row>
    <row r="127" spans="4:6">
      <c r="D127" s="24"/>
      <c r="E127" s="24"/>
      <c r="F127" s="24"/>
    </row>
    <row r="128" spans="4:6">
      <c r="D128" s="24"/>
      <c r="E128" s="24"/>
      <c r="F128" s="24"/>
    </row>
    <row r="129" spans="4:6">
      <c r="D129" s="24"/>
      <c r="E129" s="24"/>
      <c r="F129" s="24"/>
    </row>
    <row r="130" spans="4:6">
      <c r="D130" s="24"/>
      <c r="E130" s="24"/>
      <c r="F130" s="24"/>
    </row>
    <row r="131" spans="4:6">
      <c r="D131" s="24"/>
      <c r="E131" s="24"/>
      <c r="F131" s="24"/>
    </row>
    <row r="132" spans="4:6">
      <c r="D132" s="24"/>
      <c r="E132" s="24"/>
      <c r="F132" s="24"/>
    </row>
    <row r="133" spans="4:6">
      <c r="D133" s="24"/>
      <c r="E133" s="24"/>
      <c r="F133" s="24"/>
    </row>
    <row r="134" spans="4:6">
      <c r="D134" s="24"/>
      <c r="E134" s="24"/>
      <c r="F134" s="24"/>
    </row>
    <row r="135" spans="4:6">
      <c r="D135" s="24"/>
      <c r="E135" s="24"/>
      <c r="F135" s="24"/>
    </row>
    <row r="136" spans="4:6">
      <c r="D136" s="24"/>
      <c r="E136" s="24"/>
      <c r="F136" s="24"/>
    </row>
    <row r="137" spans="4:6">
      <c r="D137" s="24"/>
      <c r="E137" s="24"/>
      <c r="F137" s="24"/>
    </row>
    <row r="138" spans="4:6">
      <c r="D138" s="24"/>
      <c r="E138" s="24"/>
      <c r="F138" s="24"/>
    </row>
    <row r="139" spans="4:6">
      <c r="D139" s="24"/>
      <c r="E139" s="24"/>
      <c r="F139" s="24"/>
    </row>
    <row r="140" spans="4:6">
      <c r="D140" s="24"/>
      <c r="E140" s="24"/>
      <c r="F140" s="24"/>
    </row>
    <row r="141" spans="4:6">
      <c r="D141" s="24"/>
      <c r="E141" s="24"/>
      <c r="F141" s="24"/>
    </row>
    <row r="142" spans="4:6">
      <c r="D142" s="24"/>
      <c r="E142" s="24"/>
      <c r="F142" s="24"/>
    </row>
    <row r="143" spans="4:6">
      <c r="D143" s="24"/>
      <c r="E143" s="24"/>
      <c r="F143" s="24"/>
    </row>
    <row r="144" spans="4:6">
      <c r="D144" s="24"/>
      <c r="E144" s="24"/>
      <c r="F144" s="24"/>
    </row>
    <row r="145" spans="4:6">
      <c r="D145" s="24"/>
      <c r="E145" s="24"/>
      <c r="F145" s="24"/>
    </row>
    <row r="146" spans="4:6">
      <c r="D146" s="24"/>
      <c r="E146" s="24"/>
      <c r="F146" s="24"/>
    </row>
    <row r="147" spans="4:6">
      <c r="D147" s="24"/>
      <c r="E147" s="24"/>
      <c r="F147" s="24"/>
    </row>
    <row r="148" spans="4:6">
      <c r="D148" s="24"/>
      <c r="E148" s="24"/>
      <c r="F148" s="24"/>
    </row>
    <row r="149" spans="4:6">
      <c r="D149" s="24"/>
      <c r="E149" s="24"/>
      <c r="F149" s="24"/>
    </row>
    <row r="150" spans="4:6">
      <c r="D150" s="24"/>
      <c r="E150" s="24"/>
      <c r="F150" s="2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FFFF00"/>
  </sheetPr>
  <dimension ref="A1:B22"/>
  <sheetViews>
    <sheetView workbookViewId="0">
      <selection activeCell="B21" sqref="A4:B21"/>
    </sheetView>
  </sheetViews>
  <sheetFormatPr defaultRowHeight="15"/>
  <cols>
    <col min="1" max="1" width="24.85546875" customWidth="1"/>
    <col min="2" max="3" width="20.28515625" customWidth="1"/>
  </cols>
  <sheetData>
    <row r="1" spans="1:2">
      <c r="A1" s="123" t="s">
        <v>557</v>
      </c>
      <c r="B1" t="s">
        <v>228</v>
      </c>
    </row>
    <row r="3" spans="1:2">
      <c r="A3" s="123" t="s">
        <v>1098</v>
      </c>
      <c r="B3" t="s">
        <v>1100</v>
      </c>
    </row>
    <row r="4" spans="1:2">
      <c r="A4" s="16" t="s">
        <v>1096</v>
      </c>
      <c r="B4" s="22">
        <v>1291</v>
      </c>
    </row>
    <row r="5" spans="1:2">
      <c r="A5" s="16" t="s">
        <v>1153</v>
      </c>
      <c r="B5" s="22">
        <v>4</v>
      </c>
    </row>
    <row r="6" spans="1:2">
      <c r="A6" s="16" t="s">
        <v>1111</v>
      </c>
      <c r="B6" s="22">
        <v>289.46577236234799</v>
      </c>
    </row>
    <row r="7" spans="1:2">
      <c r="A7" s="16" t="s">
        <v>599</v>
      </c>
      <c r="B7" s="22">
        <v>252.56778199820346</v>
      </c>
    </row>
    <row r="8" spans="1:2">
      <c r="A8" s="16" t="s">
        <v>600</v>
      </c>
      <c r="B8" s="22">
        <v>18.128833975198337</v>
      </c>
    </row>
    <row r="9" spans="1:2">
      <c r="A9" s="16" t="s">
        <v>603</v>
      </c>
      <c r="B9" s="22">
        <v>19.691912081116293</v>
      </c>
    </row>
    <row r="10" spans="1:2">
      <c r="A10" s="16" t="s">
        <v>1268</v>
      </c>
      <c r="B10" s="22">
        <v>46.323782057565609</v>
      </c>
    </row>
    <row r="11" spans="1:2">
      <c r="A11" s="16" t="s">
        <v>66</v>
      </c>
      <c r="B11" s="22">
        <v>28.432355326671118</v>
      </c>
    </row>
    <row r="12" spans="1:2">
      <c r="A12" s="16" t="s">
        <v>1101</v>
      </c>
      <c r="B12" s="22">
        <v>169.04062500000001</v>
      </c>
    </row>
    <row r="13" spans="1:2">
      <c r="A13" s="16" t="s">
        <v>1095</v>
      </c>
      <c r="B13" s="22">
        <v>180.23463925233648</v>
      </c>
    </row>
    <row r="14" spans="1:2">
      <c r="A14" s="16" t="s">
        <v>1103</v>
      </c>
      <c r="B14" s="22">
        <v>36.921649044784921</v>
      </c>
    </row>
    <row r="15" spans="1:2">
      <c r="A15" s="16" t="s">
        <v>1104</v>
      </c>
      <c r="B15" s="22">
        <v>19.366211125921666</v>
      </c>
    </row>
    <row r="16" spans="1:2">
      <c r="A16" s="16" t="s">
        <v>1105</v>
      </c>
      <c r="B16" s="22">
        <v>23.044585396147308</v>
      </c>
    </row>
    <row r="17" spans="1:2">
      <c r="A17" s="16" t="s">
        <v>1106</v>
      </c>
      <c r="B17" s="22">
        <v>3.1012513940667055</v>
      </c>
    </row>
    <row r="18" spans="1:2">
      <c r="A18" s="16" t="s">
        <v>1107</v>
      </c>
      <c r="B18" s="22">
        <v>316.96860093317292</v>
      </c>
    </row>
    <row r="19" spans="1:2">
      <c r="A19" s="16" t="s">
        <v>1108</v>
      </c>
      <c r="B19" s="22">
        <v>189.0667901690083</v>
      </c>
    </row>
    <row r="20" spans="1:2">
      <c r="A20" s="16" t="s">
        <v>1109</v>
      </c>
      <c r="B20" s="22">
        <v>227.44238654881039</v>
      </c>
    </row>
    <row r="21" spans="1:2">
      <c r="A21" s="16" t="s">
        <v>1110</v>
      </c>
      <c r="B21" s="22">
        <v>122.500171947417</v>
      </c>
    </row>
    <row r="22" spans="1:2">
      <c r="A22" s="16" t="s">
        <v>1099</v>
      </c>
      <c r="B22" s="22">
        <v>3237.2973486127685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FFFF00"/>
  </sheetPr>
  <dimension ref="A1:V19"/>
  <sheetViews>
    <sheetView topLeftCell="D1" workbookViewId="0">
      <selection activeCell="S2" sqref="S2"/>
    </sheetView>
  </sheetViews>
  <sheetFormatPr defaultRowHeight="15"/>
  <cols>
    <col min="1" max="1" width="28" bestFit="1" customWidth="1"/>
    <col min="2" max="2" width="26.85546875" bestFit="1" customWidth="1"/>
    <col min="3" max="3" width="32.42578125" bestFit="1" customWidth="1"/>
    <col min="4" max="4" width="32.5703125" bestFit="1" customWidth="1"/>
    <col min="5" max="5" width="34.5703125" bestFit="1" customWidth="1"/>
    <col min="6" max="6" width="33.28515625" bestFit="1" customWidth="1"/>
    <col min="7" max="7" width="35.5703125" bestFit="1" customWidth="1"/>
    <col min="8" max="8" width="29.85546875" bestFit="1" customWidth="1"/>
    <col min="9" max="9" width="32.85546875" bestFit="1" customWidth="1"/>
    <col min="10" max="10" width="37.28515625" bestFit="1" customWidth="1"/>
    <col min="11" max="11" width="34.85546875" bestFit="1" customWidth="1"/>
    <col min="12" max="12" width="39.28515625" bestFit="1" customWidth="1"/>
    <col min="13" max="13" width="38" bestFit="1" customWidth="1"/>
    <col min="14" max="14" width="42.42578125" bestFit="1" customWidth="1"/>
    <col min="15" max="15" width="41.28515625" bestFit="1" customWidth="1"/>
    <col min="16" max="16" width="45.5703125" bestFit="1" customWidth="1"/>
    <col min="17" max="17" width="32.140625" bestFit="1" customWidth="1"/>
    <col min="18" max="18" width="39.85546875" bestFit="1" customWidth="1"/>
    <col min="19" max="19" width="36.85546875" bestFit="1" customWidth="1"/>
    <col min="20" max="20" width="35.42578125" bestFit="1" customWidth="1"/>
    <col min="21" max="21" width="30.85546875" bestFit="1" customWidth="1"/>
    <col min="22" max="22" width="31" bestFit="1" customWidth="1"/>
  </cols>
  <sheetData>
    <row r="1" spans="1:22">
      <c r="B1" s="123" t="s">
        <v>1112</v>
      </c>
    </row>
    <row r="2" spans="1:22">
      <c r="A2" s="123" t="s">
        <v>1098</v>
      </c>
      <c r="B2" t="s">
        <v>1114</v>
      </c>
      <c r="C2" t="s">
        <v>1115</v>
      </c>
      <c r="D2" t="s">
        <v>1116</v>
      </c>
      <c r="E2" t="s">
        <v>1117</v>
      </c>
      <c r="F2" t="s">
        <v>1118</v>
      </c>
      <c r="G2" t="s">
        <v>1269</v>
      </c>
      <c r="H2" t="s">
        <v>1156</v>
      </c>
      <c r="I2" t="s">
        <v>1119</v>
      </c>
      <c r="J2" t="s">
        <v>1120</v>
      </c>
      <c r="K2" t="s">
        <v>1121</v>
      </c>
      <c r="L2" t="s">
        <v>1122</v>
      </c>
      <c r="M2" t="s">
        <v>1123</v>
      </c>
      <c r="N2" t="s">
        <v>1124</v>
      </c>
      <c r="O2" t="s">
        <v>1125</v>
      </c>
      <c r="P2" t="s">
        <v>1126</v>
      </c>
      <c r="Q2" t="s">
        <v>1127</v>
      </c>
      <c r="R2" t="s">
        <v>1154</v>
      </c>
      <c r="S2" t="s">
        <v>1113</v>
      </c>
      <c r="T2" t="s">
        <v>1270</v>
      </c>
      <c r="U2" t="s">
        <v>1271</v>
      </c>
      <c r="V2" t="s">
        <v>1272</v>
      </c>
    </row>
    <row r="3" spans="1:22">
      <c r="A3" s="16" t="s">
        <v>59</v>
      </c>
      <c r="B3" s="39">
        <v>6.5318310876632264</v>
      </c>
      <c r="C3" s="39">
        <v>0</v>
      </c>
      <c r="D3" s="39">
        <v>90.244514404768196</v>
      </c>
      <c r="E3" s="39">
        <v>10.8965</v>
      </c>
      <c r="F3" s="39">
        <v>9.5940549833333328</v>
      </c>
      <c r="G3" s="39">
        <v>25.40722717212417</v>
      </c>
      <c r="H3" s="39">
        <v>75.097766355140195</v>
      </c>
      <c r="I3" s="39">
        <v>19.693928100000001</v>
      </c>
      <c r="J3" s="39">
        <v>10.7408</v>
      </c>
      <c r="K3" s="39">
        <v>12.915043199999998</v>
      </c>
      <c r="L3" s="39">
        <v>1.8781440000000005</v>
      </c>
      <c r="M3" s="39">
        <v>167.52621188131283</v>
      </c>
      <c r="N3" s="39">
        <v>115.0088355</v>
      </c>
      <c r="O3" s="39">
        <v>132.06983100012525</v>
      </c>
      <c r="P3" s="39">
        <v>66.608850000000004</v>
      </c>
      <c r="Q3" s="39">
        <v>163.77726871556209</v>
      </c>
      <c r="R3" s="39">
        <v>2.4000000000000004</v>
      </c>
      <c r="S3" s="39">
        <v>325</v>
      </c>
      <c r="T3" s="39">
        <v>1409.9852148760597</v>
      </c>
      <c r="U3" s="39">
        <v>1427.7947872731897</v>
      </c>
      <c r="V3" s="39">
        <v>1514.6800259114971</v>
      </c>
    </row>
    <row r="4" spans="1:22">
      <c r="A4" s="132" t="s">
        <v>1150</v>
      </c>
      <c r="B4" s="39">
        <v>0</v>
      </c>
      <c r="C4" s="39">
        <v>0</v>
      </c>
      <c r="D4" s="39">
        <v>0</v>
      </c>
      <c r="E4" s="39">
        <v>0</v>
      </c>
      <c r="F4" s="39">
        <v>0</v>
      </c>
      <c r="G4" s="39">
        <v>0</v>
      </c>
      <c r="H4" s="39">
        <v>0</v>
      </c>
      <c r="I4" s="39">
        <v>0</v>
      </c>
      <c r="J4" s="39">
        <v>0</v>
      </c>
      <c r="K4" s="39">
        <v>0</v>
      </c>
      <c r="L4" s="39">
        <v>0</v>
      </c>
      <c r="M4" s="39">
        <v>0</v>
      </c>
      <c r="N4" s="39">
        <v>0</v>
      </c>
      <c r="O4" s="39">
        <v>0</v>
      </c>
      <c r="P4" s="39">
        <v>0</v>
      </c>
      <c r="Q4" s="39">
        <v>0</v>
      </c>
      <c r="R4" s="39">
        <v>0</v>
      </c>
      <c r="S4" s="39">
        <v>0</v>
      </c>
      <c r="T4" s="39">
        <v>746.56802349365762</v>
      </c>
      <c r="U4" s="39">
        <v>770.09279297918067</v>
      </c>
      <c r="V4" s="39">
        <v>804.40634144452395</v>
      </c>
    </row>
    <row r="5" spans="1:22">
      <c r="A5" s="132" t="s">
        <v>1151</v>
      </c>
      <c r="B5" s="39">
        <v>0</v>
      </c>
      <c r="C5" s="39">
        <v>0</v>
      </c>
      <c r="D5" s="39">
        <v>0</v>
      </c>
      <c r="E5" s="39">
        <v>0</v>
      </c>
      <c r="F5" s="39">
        <v>0</v>
      </c>
      <c r="G5" s="39">
        <v>0</v>
      </c>
      <c r="H5" s="39">
        <v>0</v>
      </c>
      <c r="I5" s="39">
        <v>0</v>
      </c>
      <c r="J5" s="39">
        <v>0</v>
      </c>
      <c r="K5" s="39">
        <v>0</v>
      </c>
      <c r="L5" s="39">
        <v>0</v>
      </c>
      <c r="M5" s="39">
        <v>0</v>
      </c>
      <c r="N5" s="39">
        <v>0</v>
      </c>
      <c r="O5" s="39">
        <v>0</v>
      </c>
      <c r="P5" s="39">
        <v>0</v>
      </c>
      <c r="Q5" s="39">
        <v>0</v>
      </c>
      <c r="R5" s="39">
        <v>0</v>
      </c>
      <c r="S5" s="39">
        <v>0</v>
      </c>
      <c r="T5" s="39">
        <v>663.41719138240205</v>
      </c>
      <c r="U5" s="39">
        <v>657.70199429400918</v>
      </c>
      <c r="V5" s="39">
        <v>710.27368446697312</v>
      </c>
    </row>
    <row r="6" spans="1:22">
      <c r="A6" s="132" t="s">
        <v>1152</v>
      </c>
      <c r="B6" s="39">
        <v>6.5318310876632264</v>
      </c>
      <c r="C6" s="39">
        <v>0</v>
      </c>
      <c r="D6" s="39">
        <v>90.244514404768196</v>
      </c>
      <c r="E6" s="39">
        <v>10.8965</v>
      </c>
      <c r="F6" s="39">
        <v>9.5940549833333328</v>
      </c>
      <c r="G6" s="39">
        <v>25.40722717212417</v>
      </c>
      <c r="H6" s="39">
        <v>75.097766355140195</v>
      </c>
      <c r="I6" s="39">
        <v>19.693928100000001</v>
      </c>
      <c r="J6" s="39">
        <v>10.7408</v>
      </c>
      <c r="K6" s="39">
        <v>12.915043199999998</v>
      </c>
      <c r="L6" s="39">
        <v>1.8781440000000005</v>
      </c>
      <c r="M6" s="39">
        <v>167.52621188131283</v>
      </c>
      <c r="N6" s="39">
        <v>115.0088355</v>
      </c>
      <c r="O6" s="39">
        <v>132.06983100012525</v>
      </c>
      <c r="P6" s="39">
        <v>66.608850000000004</v>
      </c>
      <c r="Q6" s="39">
        <v>163.77726871556209</v>
      </c>
      <c r="R6" s="39">
        <v>2.4000000000000004</v>
      </c>
      <c r="S6" s="39">
        <v>325</v>
      </c>
      <c r="T6" s="39">
        <v>0</v>
      </c>
      <c r="U6" s="39">
        <v>0</v>
      </c>
      <c r="V6" s="39">
        <v>0</v>
      </c>
    </row>
    <row r="7" spans="1:22">
      <c r="A7" s="16" t="s">
        <v>61</v>
      </c>
      <c r="B7" s="39">
        <v>21.853072153325819</v>
      </c>
      <c r="C7" s="39">
        <v>0</v>
      </c>
      <c r="D7" s="39">
        <v>120.41189130982447</v>
      </c>
      <c r="E7" s="39">
        <v>5.9089999999999998</v>
      </c>
      <c r="F7" s="39">
        <v>9.6118395022222227</v>
      </c>
      <c r="G7" s="39">
        <v>16.102945349299134</v>
      </c>
      <c r="H7" s="39">
        <v>105.13687289719627</v>
      </c>
      <c r="I7" s="39">
        <v>13.6393775</v>
      </c>
      <c r="J7" s="39">
        <v>6.6842299999999994</v>
      </c>
      <c r="K7" s="39">
        <v>7.9628399999999999</v>
      </c>
      <c r="L7" s="39">
        <v>0.89702400000000015</v>
      </c>
      <c r="M7" s="39">
        <v>119.1859207969119</v>
      </c>
      <c r="N7" s="39">
        <v>55.561833</v>
      </c>
      <c r="O7" s="39">
        <v>74.264772974068322</v>
      </c>
      <c r="P7" s="39">
        <v>44.012430000000002</v>
      </c>
      <c r="Q7" s="39">
        <v>104.92195647900826</v>
      </c>
      <c r="R7" s="39">
        <v>1.2000000000000002</v>
      </c>
      <c r="S7" s="39">
        <v>966</v>
      </c>
      <c r="T7" s="39">
        <v>902.8010816325741</v>
      </c>
      <c r="U7" s="39">
        <v>931.59016316487828</v>
      </c>
      <c r="V7" s="39">
        <v>1275.8685725637877</v>
      </c>
    </row>
    <row r="8" spans="1:22">
      <c r="A8" s="132" t="s">
        <v>1150</v>
      </c>
      <c r="B8" s="39">
        <v>0</v>
      </c>
      <c r="C8" s="39">
        <v>0</v>
      </c>
      <c r="D8" s="39">
        <v>0</v>
      </c>
      <c r="E8" s="39">
        <v>0</v>
      </c>
      <c r="F8" s="39">
        <v>0</v>
      </c>
      <c r="G8" s="39">
        <v>0</v>
      </c>
      <c r="H8" s="39">
        <v>0</v>
      </c>
      <c r="I8" s="39">
        <v>0</v>
      </c>
      <c r="J8" s="39">
        <v>0</v>
      </c>
      <c r="K8" s="39">
        <v>0</v>
      </c>
      <c r="L8" s="39">
        <v>0</v>
      </c>
      <c r="M8" s="39">
        <v>0</v>
      </c>
      <c r="N8" s="39">
        <v>0</v>
      </c>
      <c r="O8" s="39">
        <v>0</v>
      </c>
      <c r="P8" s="39">
        <v>0</v>
      </c>
      <c r="Q8" s="39">
        <v>0</v>
      </c>
      <c r="R8" s="39">
        <v>0</v>
      </c>
      <c r="S8" s="39">
        <v>0</v>
      </c>
      <c r="T8" s="39">
        <v>481.29555971417284</v>
      </c>
      <c r="U8" s="39">
        <v>504.09301602345636</v>
      </c>
      <c r="V8" s="39">
        <v>677.57991989263303</v>
      </c>
    </row>
    <row r="9" spans="1:22">
      <c r="A9" s="132" t="s">
        <v>1151</v>
      </c>
      <c r="B9" s="39">
        <v>0</v>
      </c>
      <c r="C9" s="39">
        <v>0</v>
      </c>
      <c r="D9" s="39">
        <v>0</v>
      </c>
      <c r="E9" s="39">
        <v>0</v>
      </c>
      <c r="F9" s="39">
        <v>0</v>
      </c>
      <c r="G9" s="39">
        <v>0</v>
      </c>
      <c r="H9" s="39">
        <v>0</v>
      </c>
      <c r="I9" s="39">
        <v>0</v>
      </c>
      <c r="J9" s="39">
        <v>0</v>
      </c>
      <c r="K9" s="39">
        <v>0</v>
      </c>
      <c r="L9" s="39">
        <v>0</v>
      </c>
      <c r="M9" s="39">
        <v>0</v>
      </c>
      <c r="N9" s="39">
        <v>0</v>
      </c>
      <c r="O9" s="39">
        <v>0</v>
      </c>
      <c r="P9" s="39">
        <v>0</v>
      </c>
      <c r="Q9" s="39">
        <v>0</v>
      </c>
      <c r="R9" s="39">
        <v>0</v>
      </c>
      <c r="S9" s="39">
        <v>0</v>
      </c>
      <c r="T9" s="39">
        <v>421.50552191840131</v>
      </c>
      <c r="U9" s="39">
        <v>427.49714714142192</v>
      </c>
      <c r="V9" s="39">
        <v>598.28865267115464</v>
      </c>
    </row>
    <row r="10" spans="1:22">
      <c r="A10" s="132" t="s">
        <v>1152</v>
      </c>
      <c r="B10" s="39">
        <v>21.853072153325819</v>
      </c>
      <c r="C10" s="39">
        <v>0</v>
      </c>
      <c r="D10" s="39">
        <v>120.41189130982447</v>
      </c>
      <c r="E10" s="39">
        <v>5.9089999999999998</v>
      </c>
      <c r="F10" s="39">
        <v>9.6118395022222227</v>
      </c>
      <c r="G10" s="39">
        <v>16.102945349299134</v>
      </c>
      <c r="H10" s="39">
        <v>105.13687289719627</v>
      </c>
      <c r="I10" s="39">
        <v>13.6393775</v>
      </c>
      <c r="J10" s="39">
        <v>6.6842299999999994</v>
      </c>
      <c r="K10" s="39">
        <v>7.9628399999999999</v>
      </c>
      <c r="L10" s="39">
        <v>0.89702400000000015</v>
      </c>
      <c r="M10" s="39">
        <v>119.1859207969119</v>
      </c>
      <c r="N10" s="39">
        <v>55.561833</v>
      </c>
      <c r="O10" s="39">
        <v>74.264772974068322</v>
      </c>
      <c r="P10" s="39">
        <v>44.012430000000002</v>
      </c>
      <c r="Q10" s="39">
        <v>104.92195647900826</v>
      </c>
      <c r="R10" s="39">
        <v>1.2000000000000002</v>
      </c>
      <c r="S10" s="39">
        <v>966</v>
      </c>
      <c r="T10" s="39">
        <v>0</v>
      </c>
      <c r="U10" s="39">
        <v>0</v>
      </c>
      <c r="V10" s="39">
        <v>0</v>
      </c>
    </row>
    <row r="11" spans="1:22">
      <c r="A11" s="16" t="s">
        <v>227</v>
      </c>
      <c r="B11" s="39">
        <v>16.979416009019168</v>
      </c>
      <c r="C11" s="39">
        <v>169.04062500000001</v>
      </c>
      <c r="D11" s="39">
        <v>99.027184575314791</v>
      </c>
      <c r="E11" s="39">
        <v>3.1682896413222452</v>
      </c>
      <c r="F11" s="39">
        <v>1.1636176791060595</v>
      </c>
      <c r="G11" s="39">
        <v>11.633353281982759</v>
      </c>
      <c r="H11" s="39">
        <v>0</v>
      </c>
      <c r="I11" s="39">
        <v>7.3957032636543207</v>
      </c>
      <c r="J11" s="39">
        <v>4.1662905208869665</v>
      </c>
      <c r="K11" s="39">
        <v>4.9489730627413442</v>
      </c>
      <c r="L11" s="39">
        <v>0.55102053315732513</v>
      </c>
      <c r="M11" s="39">
        <v>78.305029341619303</v>
      </c>
      <c r="N11" s="39">
        <v>27.694444847269288</v>
      </c>
      <c r="O11" s="39">
        <v>31.466726985146121</v>
      </c>
      <c r="P11" s="39">
        <v>27.976878826570289</v>
      </c>
      <c r="Q11" s="39">
        <v>88.685451956017445</v>
      </c>
      <c r="R11" s="39">
        <v>1.2000000000000002</v>
      </c>
      <c r="S11" s="39">
        <v>0</v>
      </c>
      <c r="T11" s="39">
        <v>388.86748587065222</v>
      </c>
      <c r="U11" s="39">
        <v>591.30110666890687</v>
      </c>
      <c r="V11" s="39">
        <v>793.62456946166935</v>
      </c>
    </row>
    <row r="12" spans="1:22">
      <c r="A12" s="132" t="s">
        <v>1150</v>
      </c>
      <c r="B12" s="39">
        <v>0</v>
      </c>
      <c r="C12" s="39">
        <v>0</v>
      </c>
      <c r="D12" s="39">
        <v>0</v>
      </c>
      <c r="E12" s="39">
        <v>0</v>
      </c>
      <c r="F12" s="39">
        <v>0</v>
      </c>
      <c r="G12" s="39">
        <v>0</v>
      </c>
      <c r="H12" s="39">
        <v>0</v>
      </c>
      <c r="I12" s="39">
        <v>0</v>
      </c>
      <c r="J12" s="39">
        <v>0</v>
      </c>
      <c r="K12" s="39">
        <v>0</v>
      </c>
      <c r="L12" s="39">
        <v>0</v>
      </c>
      <c r="M12" s="39">
        <v>0</v>
      </c>
      <c r="N12" s="39">
        <v>0</v>
      </c>
      <c r="O12" s="39">
        <v>0</v>
      </c>
      <c r="P12" s="39">
        <v>0</v>
      </c>
      <c r="Q12" s="39">
        <v>0</v>
      </c>
      <c r="R12" s="39">
        <v>0</v>
      </c>
      <c r="S12" s="39">
        <v>0</v>
      </c>
      <c r="T12" s="39">
        <v>206.12075088932974</v>
      </c>
      <c r="U12" s="39">
        <v>319.62377265831788</v>
      </c>
      <c r="V12" s="39">
        <v>421.47293519433288</v>
      </c>
    </row>
    <row r="13" spans="1:22">
      <c r="A13" s="132" t="s">
        <v>1151</v>
      </c>
      <c r="B13" s="39">
        <v>0</v>
      </c>
      <c r="C13" s="39">
        <v>0</v>
      </c>
      <c r="D13" s="39">
        <v>0</v>
      </c>
      <c r="E13" s="39">
        <v>0</v>
      </c>
      <c r="F13" s="39">
        <v>0</v>
      </c>
      <c r="G13" s="39">
        <v>0</v>
      </c>
      <c r="H13" s="39">
        <v>0</v>
      </c>
      <c r="I13" s="39">
        <v>0</v>
      </c>
      <c r="J13" s="39">
        <v>0</v>
      </c>
      <c r="K13" s="39">
        <v>0</v>
      </c>
      <c r="L13" s="39">
        <v>0</v>
      </c>
      <c r="M13" s="39">
        <v>0</v>
      </c>
      <c r="N13" s="39">
        <v>0</v>
      </c>
      <c r="O13" s="39">
        <v>0</v>
      </c>
      <c r="P13" s="39">
        <v>0</v>
      </c>
      <c r="Q13" s="39">
        <v>0</v>
      </c>
      <c r="R13" s="39">
        <v>0</v>
      </c>
      <c r="S13" s="39">
        <v>0</v>
      </c>
      <c r="T13" s="39">
        <v>182.74673498132245</v>
      </c>
      <c r="U13" s="39">
        <v>271.67733401058899</v>
      </c>
      <c r="V13" s="39">
        <v>372.15163426733642</v>
      </c>
    </row>
    <row r="14" spans="1:22">
      <c r="A14" s="132" t="s">
        <v>1152</v>
      </c>
      <c r="B14" s="39">
        <v>16.979416009019168</v>
      </c>
      <c r="C14" s="39">
        <v>169.04062500000001</v>
      </c>
      <c r="D14" s="39">
        <v>99.027184575314791</v>
      </c>
      <c r="E14" s="39">
        <v>3.1682896413222452</v>
      </c>
      <c r="F14" s="39">
        <v>1.1636176791060595</v>
      </c>
      <c r="G14" s="39">
        <v>11.633353281982759</v>
      </c>
      <c r="H14" s="39">
        <v>0</v>
      </c>
      <c r="I14" s="39">
        <v>7.3957032636543207</v>
      </c>
      <c r="J14" s="39">
        <v>4.1662905208869665</v>
      </c>
      <c r="K14" s="39">
        <v>4.9489730627413442</v>
      </c>
      <c r="L14" s="39">
        <v>0.55102053315732513</v>
      </c>
      <c r="M14" s="39">
        <v>78.305029341619303</v>
      </c>
      <c r="N14" s="39">
        <v>27.694444847269288</v>
      </c>
      <c r="O14" s="39">
        <v>31.466726985146121</v>
      </c>
      <c r="P14" s="39">
        <v>27.976878826570289</v>
      </c>
      <c r="Q14" s="39">
        <v>88.685451956017445</v>
      </c>
      <c r="R14" s="39">
        <v>1.2000000000000002</v>
      </c>
      <c r="S14" s="39">
        <v>0</v>
      </c>
      <c r="T14" s="39">
        <v>0</v>
      </c>
      <c r="U14" s="39">
        <v>0</v>
      </c>
      <c r="V14" s="39">
        <v>0</v>
      </c>
    </row>
    <row r="15" spans="1:22">
      <c r="A15" s="16" t="s">
        <v>228</v>
      </c>
      <c r="B15" s="39">
        <v>28.432355326671118</v>
      </c>
      <c r="C15" s="39">
        <v>169.04062500000001</v>
      </c>
      <c r="D15" s="39">
        <v>252.56778199820346</v>
      </c>
      <c r="E15" s="39">
        <v>18.128833975198337</v>
      </c>
      <c r="F15" s="39">
        <v>19.691912081116293</v>
      </c>
      <c r="G15" s="39">
        <v>46.323782057565609</v>
      </c>
      <c r="H15" s="39">
        <v>180.23463925233648</v>
      </c>
      <c r="I15" s="39">
        <v>36.921649044784921</v>
      </c>
      <c r="J15" s="39">
        <v>19.366211125921666</v>
      </c>
      <c r="K15" s="39">
        <v>23.044585396147308</v>
      </c>
      <c r="L15" s="39">
        <v>3.1012513940667055</v>
      </c>
      <c r="M15" s="39">
        <v>316.96860093317292</v>
      </c>
      <c r="N15" s="39">
        <v>189.0667901690083</v>
      </c>
      <c r="O15" s="39">
        <v>227.44238654881039</v>
      </c>
      <c r="P15" s="39">
        <v>122.500171947417</v>
      </c>
      <c r="Q15" s="39">
        <v>289.46577236234799</v>
      </c>
      <c r="R15" s="39">
        <v>4</v>
      </c>
      <c r="S15" s="39">
        <v>1291</v>
      </c>
      <c r="T15" s="39">
        <v>2486.072072162955</v>
      </c>
      <c r="U15" s="39">
        <v>2600.023191515385</v>
      </c>
      <c r="V15" s="39">
        <v>3088.4714038429047</v>
      </c>
    </row>
    <row r="16" spans="1:22">
      <c r="A16" s="132" t="s">
        <v>1150</v>
      </c>
      <c r="B16" s="39">
        <v>0</v>
      </c>
      <c r="C16" s="39">
        <v>0</v>
      </c>
      <c r="D16" s="39">
        <v>0</v>
      </c>
      <c r="E16" s="39">
        <v>0</v>
      </c>
      <c r="F16" s="39">
        <v>0</v>
      </c>
      <c r="G16" s="39">
        <v>0</v>
      </c>
      <c r="H16" s="39">
        <v>0</v>
      </c>
      <c r="I16" s="39">
        <v>0</v>
      </c>
      <c r="J16" s="39">
        <v>0</v>
      </c>
      <c r="K16" s="39">
        <v>0</v>
      </c>
      <c r="L16" s="39">
        <v>0</v>
      </c>
      <c r="M16" s="39">
        <v>0</v>
      </c>
      <c r="N16" s="39">
        <v>0</v>
      </c>
      <c r="O16" s="39">
        <v>0</v>
      </c>
      <c r="P16" s="39">
        <v>0</v>
      </c>
      <c r="Q16" s="39">
        <v>0</v>
      </c>
      <c r="R16" s="39">
        <v>0</v>
      </c>
      <c r="S16" s="39">
        <v>0</v>
      </c>
      <c r="T16" s="39">
        <v>1319.9389523037294</v>
      </c>
      <c r="U16" s="39">
        <v>1404.2105660864174</v>
      </c>
      <c r="V16" s="39">
        <v>1640.2051523233504</v>
      </c>
    </row>
    <row r="17" spans="1:22">
      <c r="A17" s="132" t="s">
        <v>1151</v>
      </c>
      <c r="B17" s="39">
        <v>0</v>
      </c>
      <c r="C17" s="39">
        <v>0</v>
      </c>
      <c r="D17" s="39">
        <v>0</v>
      </c>
      <c r="E17" s="39">
        <v>0</v>
      </c>
      <c r="F17" s="39">
        <v>0</v>
      </c>
      <c r="G17" s="39">
        <v>0</v>
      </c>
      <c r="H17" s="39">
        <v>0</v>
      </c>
      <c r="I17" s="39">
        <v>0</v>
      </c>
      <c r="J17" s="39">
        <v>0</v>
      </c>
      <c r="K17" s="39">
        <v>0</v>
      </c>
      <c r="L17" s="39">
        <v>0</v>
      </c>
      <c r="M17" s="39">
        <v>0</v>
      </c>
      <c r="N17" s="39">
        <v>0</v>
      </c>
      <c r="O17" s="39">
        <v>0</v>
      </c>
      <c r="P17" s="39">
        <v>0</v>
      </c>
      <c r="Q17" s="39">
        <v>0</v>
      </c>
      <c r="R17" s="39">
        <v>0</v>
      </c>
      <c r="S17" s="39">
        <v>0</v>
      </c>
      <c r="T17" s="39">
        <v>1166.1331198592256</v>
      </c>
      <c r="U17" s="39">
        <v>1195.8126254289675</v>
      </c>
      <c r="V17" s="39">
        <v>1448.2662515195541</v>
      </c>
    </row>
    <row r="18" spans="1:22">
      <c r="A18" s="132" t="s">
        <v>1152</v>
      </c>
      <c r="B18" s="39">
        <v>28.432355326671118</v>
      </c>
      <c r="C18" s="39">
        <v>169.04062500000001</v>
      </c>
      <c r="D18" s="39">
        <v>252.56778199820346</v>
      </c>
      <c r="E18" s="39">
        <v>18.128833975198337</v>
      </c>
      <c r="F18" s="39">
        <v>19.691912081116293</v>
      </c>
      <c r="G18" s="39">
        <v>46.323782057565609</v>
      </c>
      <c r="H18" s="39">
        <v>180.23463925233648</v>
      </c>
      <c r="I18" s="39">
        <v>36.921649044784921</v>
      </c>
      <c r="J18" s="39">
        <v>19.366211125921666</v>
      </c>
      <c r="K18" s="39">
        <v>23.044585396147308</v>
      </c>
      <c r="L18" s="39">
        <v>3.1012513940667055</v>
      </c>
      <c r="M18" s="39">
        <v>316.96860093317292</v>
      </c>
      <c r="N18" s="39">
        <v>189.0667901690083</v>
      </c>
      <c r="O18" s="39">
        <v>227.44238654881039</v>
      </c>
      <c r="P18" s="39">
        <v>122.500171947417</v>
      </c>
      <c r="Q18" s="39">
        <v>289.46577236234799</v>
      </c>
      <c r="R18" s="39">
        <v>4</v>
      </c>
      <c r="S18" s="39">
        <v>1291</v>
      </c>
      <c r="T18" s="39">
        <v>0</v>
      </c>
      <c r="U18" s="39">
        <v>0</v>
      </c>
      <c r="V18" s="39">
        <v>0</v>
      </c>
    </row>
    <row r="19" spans="1:22">
      <c r="A19" s="16" t="s">
        <v>1099</v>
      </c>
      <c r="B19" s="39">
        <v>73.796674576679337</v>
      </c>
      <c r="C19" s="39">
        <v>338.08125000000001</v>
      </c>
      <c r="D19" s="39">
        <v>562.25137228811093</v>
      </c>
      <c r="E19" s="39">
        <v>38.102623616520582</v>
      </c>
      <c r="F19" s="39">
        <v>40.061424245777907</v>
      </c>
      <c r="G19" s="39">
        <v>99.467307860971658</v>
      </c>
      <c r="H19" s="39">
        <v>360.46927850467296</v>
      </c>
      <c r="I19" s="39">
        <v>77.650657908439243</v>
      </c>
      <c r="J19" s="39">
        <v>40.957531646808633</v>
      </c>
      <c r="K19" s="39">
        <v>48.871441658888656</v>
      </c>
      <c r="L19" s="39">
        <v>6.4274399272240315</v>
      </c>
      <c r="M19" s="39">
        <v>681.985762953017</v>
      </c>
      <c r="N19" s="39">
        <v>387.33190351627763</v>
      </c>
      <c r="O19" s="39">
        <v>465.2437175081501</v>
      </c>
      <c r="P19" s="39">
        <v>261.0983307739873</v>
      </c>
      <c r="Q19" s="39">
        <v>646.85044951293571</v>
      </c>
      <c r="R19" s="39">
        <v>8.8000000000000007</v>
      </c>
      <c r="S19" s="39">
        <v>2582</v>
      </c>
      <c r="T19" s="39">
        <v>5187.725854542241</v>
      </c>
      <c r="U19" s="39">
        <v>5550.7092486223592</v>
      </c>
      <c r="V19" s="39">
        <v>6672.6445717798588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FFFF00"/>
  </sheetPr>
  <dimension ref="A1:BH152"/>
  <sheetViews>
    <sheetView topLeftCell="I1" zoomScale="85" zoomScaleNormal="85" workbookViewId="0">
      <selection activeCell="AA14" sqref="AA14:AC15"/>
    </sheetView>
  </sheetViews>
  <sheetFormatPr defaultRowHeight="15"/>
  <cols>
    <col min="2" max="2" width="19.7109375" customWidth="1"/>
    <col min="3" max="5" width="9.140625" style="109"/>
  </cols>
  <sheetData>
    <row r="1" spans="1:60">
      <c r="A1" s="1" t="s">
        <v>1102</v>
      </c>
    </row>
    <row r="2" spans="1:60" ht="30">
      <c r="A2" s="1"/>
      <c r="C2" s="110" t="s">
        <v>230</v>
      </c>
      <c r="D2" s="110" t="s">
        <v>258</v>
      </c>
      <c r="E2" s="110" t="s">
        <v>236</v>
      </c>
      <c r="F2" s="110" t="s">
        <v>230</v>
      </c>
      <c r="G2" s="110" t="s">
        <v>258</v>
      </c>
      <c r="H2" s="110" t="s">
        <v>236</v>
      </c>
      <c r="I2" s="110" t="s">
        <v>230</v>
      </c>
      <c r="J2" s="110" t="s">
        <v>258</v>
      </c>
      <c r="K2" s="110" t="s">
        <v>236</v>
      </c>
      <c r="L2" s="110" t="s">
        <v>230</v>
      </c>
      <c r="M2" s="110" t="s">
        <v>258</v>
      </c>
      <c r="N2" s="110" t="s">
        <v>236</v>
      </c>
      <c r="O2" s="110" t="s">
        <v>230</v>
      </c>
      <c r="P2" s="110" t="s">
        <v>258</v>
      </c>
      <c r="Q2" s="110" t="s">
        <v>236</v>
      </c>
      <c r="R2" s="110" t="s">
        <v>230</v>
      </c>
      <c r="S2" s="110" t="s">
        <v>258</v>
      </c>
      <c r="T2" s="110" t="s">
        <v>236</v>
      </c>
      <c r="U2" s="110" t="s">
        <v>230</v>
      </c>
      <c r="V2" s="110" t="s">
        <v>258</v>
      </c>
      <c r="W2" s="110" t="s">
        <v>236</v>
      </c>
      <c r="X2" s="110" t="s">
        <v>230</v>
      </c>
      <c r="Y2" s="110" t="s">
        <v>258</v>
      </c>
      <c r="Z2" s="110" t="s">
        <v>236</v>
      </c>
      <c r="AA2" s="110" t="s">
        <v>230</v>
      </c>
      <c r="AB2" s="110" t="s">
        <v>258</v>
      </c>
      <c r="AC2" s="110" t="s">
        <v>236</v>
      </c>
      <c r="AD2" s="110" t="s">
        <v>230</v>
      </c>
      <c r="AE2" s="110" t="s">
        <v>258</v>
      </c>
      <c r="AF2" s="110" t="s">
        <v>236</v>
      </c>
      <c r="AG2" s="110" t="s">
        <v>230</v>
      </c>
      <c r="AH2" s="110" t="s">
        <v>258</v>
      </c>
      <c r="AI2" s="110" t="s">
        <v>236</v>
      </c>
      <c r="AJ2" s="110" t="s">
        <v>230</v>
      </c>
      <c r="AK2" s="110" t="s">
        <v>258</v>
      </c>
      <c r="AL2" s="110" t="s">
        <v>236</v>
      </c>
      <c r="AM2" s="110" t="s">
        <v>230</v>
      </c>
      <c r="AN2" s="110" t="s">
        <v>258</v>
      </c>
      <c r="AO2" s="110" t="s">
        <v>236</v>
      </c>
      <c r="AP2" s="110" t="s">
        <v>230</v>
      </c>
      <c r="AQ2" s="110" t="s">
        <v>258</v>
      </c>
      <c r="AR2" s="110" t="s">
        <v>236</v>
      </c>
      <c r="AS2" s="110" t="s">
        <v>230</v>
      </c>
      <c r="AT2" s="110" t="s">
        <v>258</v>
      </c>
      <c r="AU2" s="110" t="s">
        <v>236</v>
      </c>
      <c r="AV2" s="110" t="s">
        <v>230</v>
      </c>
      <c r="AW2" s="110" t="s">
        <v>258</v>
      </c>
      <c r="AX2" s="110" t="s">
        <v>236</v>
      </c>
      <c r="AY2" s="110" t="s">
        <v>230</v>
      </c>
      <c r="AZ2" s="110" t="s">
        <v>258</v>
      </c>
      <c r="BA2" s="110" t="s">
        <v>236</v>
      </c>
      <c r="BB2" s="110" t="s">
        <v>230</v>
      </c>
      <c r="BC2" s="110" t="s">
        <v>258</v>
      </c>
      <c r="BD2" s="110" t="s">
        <v>236</v>
      </c>
    </row>
    <row r="3" spans="1:60">
      <c r="A3" s="1"/>
      <c r="C3" t="s">
        <v>1095</v>
      </c>
      <c r="D3" t="s">
        <v>1095</v>
      </c>
      <c r="E3" t="s">
        <v>1095</v>
      </c>
      <c r="F3" t="s">
        <v>1096</v>
      </c>
      <c r="G3" t="s">
        <v>1096</v>
      </c>
      <c r="H3" t="s">
        <v>1096</v>
      </c>
      <c r="I3" t="s">
        <v>1153</v>
      </c>
      <c r="J3" t="s">
        <v>1153</v>
      </c>
      <c r="K3" t="s">
        <v>1153</v>
      </c>
      <c r="L3" t="s">
        <v>66</v>
      </c>
      <c r="M3" t="s">
        <v>66</v>
      </c>
      <c r="N3" t="s">
        <v>66</v>
      </c>
      <c r="O3" t="s">
        <v>1101</v>
      </c>
      <c r="P3" t="s">
        <v>1101</v>
      </c>
      <c r="Q3" t="s">
        <v>1101</v>
      </c>
      <c r="R3" t="s">
        <v>599</v>
      </c>
      <c r="S3" t="s">
        <v>599</v>
      </c>
      <c r="T3" t="s">
        <v>599</v>
      </c>
      <c r="U3" t="s">
        <v>600</v>
      </c>
      <c r="V3" t="s">
        <v>600</v>
      </c>
      <c r="W3" t="s">
        <v>600</v>
      </c>
      <c r="X3" t="s">
        <v>603</v>
      </c>
      <c r="Y3" t="s">
        <v>603</v>
      </c>
      <c r="Z3" t="s">
        <v>603</v>
      </c>
      <c r="AA3" t="s">
        <v>1268</v>
      </c>
      <c r="AB3" t="s">
        <v>1268</v>
      </c>
      <c r="AC3" t="s">
        <v>1268</v>
      </c>
      <c r="AD3" t="s">
        <v>1103</v>
      </c>
      <c r="AE3" t="s">
        <v>1103</v>
      </c>
      <c r="AF3" t="s">
        <v>1103</v>
      </c>
      <c r="AG3" t="s">
        <v>1104</v>
      </c>
      <c r="AH3" t="s">
        <v>1104</v>
      </c>
      <c r="AI3" t="s">
        <v>1104</v>
      </c>
      <c r="AJ3" t="s">
        <v>1105</v>
      </c>
      <c r="AK3" t="s">
        <v>1105</v>
      </c>
      <c r="AL3" t="s">
        <v>1105</v>
      </c>
      <c r="AM3" t="s">
        <v>1106</v>
      </c>
      <c r="AN3" t="s">
        <v>1106</v>
      </c>
      <c r="AO3" t="s">
        <v>1106</v>
      </c>
      <c r="AP3" t="s">
        <v>1107</v>
      </c>
      <c r="AQ3" t="s">
        <v>1107</v>
      </c>
      <c r="AR3" t="s">
        <v>1107</v>
      </c>
      <c r="AS3" t="s">
        <v>1108</v>
      </c>
      <c r="AT3" t="s">
        <v>1108</v>
      </c>
      <c r="AU3" t="s">
        <v>1108</v>
      </c>
      <c r="AV3" t="s">
        <v>1109</v>
      </c>
      <c r="AW3" t="s">
        <v>1109</v>
      </c>
      <c r="AX3" t="s">
        <v>1109</v>
      </c>
      <c r="AY3" t="s">
        <v>1110</v>
      </c>
      <c r="AZ3" t="s">
        <v>1110</v>
      </c>
      <c r="BA3" t="s">
        <v>1110</v>
      </c>
      <c r="BB3" t="s">
        <v>1111</v>
      </c>
      <c r="BC3" t="s">
        <v>1111</v>
      </c>
      <c r="BD3" t="s">
        <v>1111</v>
      </c>
    </row>
    <row r="4" spans="1:60" s="1" customFormat="1" ht="90">
      <c r="A4" s="1" t="s">
        <v>557</v>
      </c>
      <c r="B4" s="1" t="s">
        <v>650</v>
      </c>
      <c r="C4" s="110" t="str">
        <f>C3&amp;": "&amp;C2</f>
        <v>PV Farms: Number</v>
      </c>
      <c r="D4" s="110" t="str">
        <f t="shared" ref="D4:Q4" si="0">D3&amp;": "&amp;D2</f>
        <v>PV Farms: Capacity (MW)</v>
      </c>
      <c r="E4" s="110" t="str">
        <f t="shared" si="0"/>
        <v>PV Farms: Energy (GWh)</v>
      </c>
      <c r="F4" s="110" t="str">
        <f t="shared" si="0"/>
        <v>Large Scale Wind: Number</v>
      </c>
      <c r="G4" s="110" t="str">
        <f t="shared" si="0"/>
        <v>Large Scale Wind: Capacity (MW)</v>
      </c>
      <c r="H4" s="110" t="str">
        <f t="shared" si="0"/>
        <v>Large Scale Wind: Energy (GWh)</v>
      </c>
      <c r="I4" s="110" t="str">
        <f t="shared" si="0"/>
        <v>Medium Scale Wind: Number</v>
      </c>
      <c r="J4" s="110" t="str">
        <f t="shared" si="0"/>
        <v>Medium Scale Wind: Capacity (MW)</v>
      </c>
      <c r="K4" s="110" t="str">
        <f t="shared" si="0"/>
        <v>Medium Scale Wind: Energy (GWh)</v>
      </c>
      <c r="L4" s="110" t="str">
        <f t="shared" si="0"/>
        <v>Hydro: Number</v>
      </c>
      <c r="M4" s="110" t="str">
        <f t="shared" si="0"/>
        <v>Hydro: Capacity (MW)</v>
      </c>
      <c r="N4" s="110" t="str">
        <f t="shared" si="0"/>
        <v>Hydro: Energy (GWh)</v>
      </c>
      <c r="O4" s="110" t="str">
        <f t="shared" si="0"/>
        <v>Geothermal: Number</v>
      </c>
      <c r="P4" s="110" t="str">
        <f t="shared" si="0"/>
        <v>Geothermal: Capacity (MW)</v>
      </c>
      <c r="Q4" s="110" t="str">
        <f t="shared" si="0"/>
        <v>Geothermal: Energy (GWh)</v>
      </c>
      <c r="R4" s="110" t="str">
        <f t="shared" ref="R4:BD4" si="1">R3&amp;": "&amp;R2</f>
        <v>Clean Wood: Number</v>
      </c>
      <c r="S4" s="110" t="str">
        <f t="shared" si="1"/>
        <v>Clean Wood: Capacity (MW)</v>
      </c>
      <c r="T4" s="110" t="str">
        <f t="shared" si="1"/>
        <v>Clean Wood: Energy (GWh)</v>
      </c>
      <c r="U4" s="110" t="str">
        <f t="shared" si="1"/>
        <v>Treated Wood: Number</v>
      </c>
      <c r="V4" s="110" t="str">
        <f t="shared" si="1"/>
        <v>Treated Wood: Capacity (MW)</v>
      </c>
      <c r="W4" s="110" t="str">
        <f t="shared" si="1"/>
        <v>Treated Wood: Energy (GWh)</v>
      </c>
      <c r="X4" s="110" t="str">
        <f t="shared" si="1"/>
        <v>Wet Biomass: Number</v>
      </c>
      <c r="Y4" s="110" t="str">
        <f t="shared" si="1"/>
        <v>Wet Biomass: Capacity (MW)</v>
      </c>
      <c r="Z4" s="110" t="str">
        <f t="shared" si="1"/>
        <v>Wet Biomass: Energy (GWh)</v>
      </c>
      <c r="AA4" s="110" t="str">
        <f t="shared" si="1"/>
        <v>Residual Waste: Number</v>
      </c>
      <c r="AB4" s="110" t="str">
        <f t="shared" si="1"/>
        <v>Residual Waste: Capacity (MW)</v>
      </c>
      <c r="AC4" s="110" t="str">
        <f t="shared" si="1"/>
        <v>Residual Waste: Energy (GWh)</v>
      </c>
      <c r="AD4" s="110" t="str">
        <f t="shared" si="1"/>
        <v>Domestic PV: Number</v>
      </c>
      <c r="AE4" s="110" t="str">
        <f t="shared" si="1"/>
        <v>Domestic PV: Capacity (MW)</v>
      </c>
      <c r="AF4" s="110" t="str">
        <f t="shared" si="1"/>
        <v>Domestic PV: Energy (GWh)</v>
      </c>
      <c r="AG4" s="110" t="str">
        <f t="shared" si="1"/>
        <v>Non-domestic PV: Number</v>
      </c>
      <c r="AH4" s="110" t="str">
        <f t="shared" si="1"/>
        <v>Non-domestic PV: Capacity (MW)</v>
      </c>
      <c r="AI4" s="110" t="str">
        <f t="shared" si="1"/>
        <v>Non-domestic PV: Energy (GWh)</v>
      </c>
      <c r="AJ4" s="110" t="str">
        <f t="shared" si="1"/>
        <v>Domestic SWH: Number</v>
      </c>
      <c r="AK4" s="110" t="str">
        <f t="shared" si="1"/>
        <v>Domestic SWH: Capacity (MW)</v>
      </c>
      <c r="AL4" s="110" t="str">
        <f t="shared" si="1"/>
        <v>Domestic SWH: Energy (GWh)</v>
      </c>
      <c r="AM4" s="110" t="str">
        <f t="shared" si="1"/>
        <v>Non-domestic SWH: Number</v>
      </c>
      <c r="AN4" s="110" t="str">
        <f t="shared" si="1"/>
        <v>Non-domestic SWH: Capacity (MW)</v>
      </c>
      <c r="AO4" s="110" t="str">
        <f t="shared" si="1"/>
        <v>Non-domestic SWH: Energy (GWh)</v>
      </c>
      <c r="AP4" s="110" t="str">
        <f t="shared" si="1"/>
        <v>Domestic biomass: Number</v>
      </c>
      <c r="AQ4" s="110" t="str">
        <f t="shared" si="1"/>
        <v>Domestic biomass: Capacity (MW)</v>
      </c>
      <c r="AR4" s="110" t="str">
        <f t="shared" si="1"/>
        <v>Domestic biomass: Energy (GWh)</v>
      </c>
      <c r="AS4" s="110" t="str">
        <f t="shared" si="1"/>
        <v>Non-domestic biomass: Number</v>
      </c>
      <c r="AT4" s="110" t="str">
        <f t="shared" si="1"/>
        <v>Non-domestic biomass: Capacity (MW)</v>
      </c>
      <c r="AU4" s="110" t="str">
        <f t="shared" si="1"/>
        <v>Non-domestic biomass: Energy (GWh)</v>
      </c>
      <c r="AV4" s="110" t="str">
        <f t="shared" si="1"/>
        <v>Domestic Heat Pumps: Number</v>
      </c>
      <c r="AW4" s="110" t="str">
        <f t="shared" si="1"/>
        <v>Domestic Heat Pumps: Capacity (MW)</v>
      </c>
      <c r="AX4" s="110" t="str">
        <f t="shared" si="1"/>
        <v>Domestic Heat Pumps: Energy (GWh)</v>
      </c>
      <c r="AY4" s="110" t="str">
        <f t="shared" si="1"/>
        <v>Non-domestic heat pumps: Number</v>
      </c>
      <c r="AZ4" s="110" t="str">
        <f t="shared" si="1"/>
        <v>Non-domestic heat pumps: Capacity (MW)</v>
      </c>
      <c r="BA4" s="110" t="str">
        <f t="shared" si="1"/>
        <v>Non-domestic heat pumps: Energy (GWh)</v>
      </c>
      <c r="BB4" s="110" t="str">
        <f t="shared" si="1"/>
        <v>Micro Wind: Number</v>
      </c>
      <c r="BC4" s="110" t="str">
        <f t="shared" si="1"/>
        <v>Micro Wind: Capacity (MW)</v>
      </c>
      <c r="BD4" s="110" t="str">
        <f t="shared" si="1"/>
        <v>Micro Wind: Energy (GWh)</v>
      </c>
      <c r="BE4" s="110" t="s">
        <v>1128</v>
      </c>
      <c r="BF4" s="110" t="s">
        <v>1129</v>
      </c>
      <c r="BG4" s="110" t="s">
        <v>1130</v>
      </c>
    </row>
    <row r="5" spans="1:60" s="38" customFormat="1">
      <c r="A5" t="s">
        <v>59</v>
      </c>
      <c r="B5" t="s">
        <v>1150</v>
      </c>
      <c r="C5" s="124">
        <v>0</v>
      </c>
      <c r="D5" s="124">
        <v>0</v>
      </c>
      <c r="E5" s="124">
        <v>0</v>
      </c>
      <c r="F5" s="124">
        <v>0</v>
      </c>
      <c r="G5" s="124">
        <v>0</v>
      </c>
      <c r="H5" s="124">
        <v>0</v>
      </c>
      <c r="I5" s="124">
        <v>0</v>
      </c>
      <c r="J5" s="124">
        <v>0</v>
      </c>
      <c r="K5" s="124">
        <v>0</v>
      </c>
      <c r="L5" s="124">
        <v>0</v>
      </c>
      <c r="M5" s="124">
        <v>0</v>
      </c>
      <c r="N5" s="124">
        <v>0</v>
      </c>
      <c r="O5" s="124">
        <v>0</v>
      </c>
      <c r="P5" s="124">
        <v>0</v>
      </c>
      <c r="Q5" s="124">
        <v>0</v>
      </c>
      <c r="R5" s="124">
        <v>0</v>
      </c>
      <c r="S5" s="124">
        <v>0</v>
      </c>
      <c r="T5" s="124">
        <v>0</v>
      </c>
      <c r="U5" s="124">
        <v>0</v>
      </c>
      <c r="V5" s="124">
        <v>0</v>
      </c>
      <c r="W5" s="124">
        <v>0</v>
      </c>
      <c r="X5" s="124">
        <v>0</v>
      </c>
      <c r="Y5" s="124">
        <v>0</v>
      </c>
      <c r="Z5" s="124">
        <v>0</v>
      </c>
      <c r="AA5" s="124">
        <v>0</v>
      </c>
      <c r="AB5" s="124">
        <v>0</v>
      </c>
      <c r="AC5" s="124">
        <v>0</v>
      </c>
      <c r="AD5" s="124">
        <v>0</v>
      </c>
      <c r="AE5" s="124">
        <v>0</v>
      </c>
      <c r="AF5" s="124">
        <v>0</v>
      </c>
      <c r="AG5" s="124">
        <v>0</v>
      </c>
      <c r="AH5" s="124">
        <v>0</v>
      </c>
      <c r="AI5" s="124">
        <v>0</v>
      </c>
      <c r="AJ5" s="124">
        <v>0</v>
      </c>
      <c r="AK5" s="124">
        <v>0</v>
      </c>
      <c r="AL5" s="124">
        <v>0</v>
      </c>
      <c r="AM5" s="124">
        <v>0</v>
      </c>
      <c r="AN5" s="124">
        <v>0</v>
      </c>
      <c r="AO5" s="124">
        <v>0</v>
      </c>
      <c r="AP5" s="124">
        <v>0</v>
      </c>
      <c r="AQ5" s="124">
        <v>0</v>
      </c>
      <c r="AR5" s="124">
        <v>0</v>
      </c>
      <c r="AS5" s="124">
        <v>0</v>
      </c>
      <c r="AT5" s="124">
        <v>0</v>
      </c>
      <c r="AU5" s="124">
        <v>0</v>
      </c>
      <c r="AV5" s="124">
        <v>0</v>
      </c>
      <c r="AW5" s="124">
        <v>0</v>
      </c>
      <c r="AX5" s="124">
        <v>0</v>
      </c>
      <c r="AY5" s="124">
        <v>0</v>
      </c>
      <c r="AZ5" s="124">
        <v>0</v>
      </c>
      <c r="BA5" s="124">
        <v>0</v>
      </c>
      <c r="BB5" s="124">
        <v>0</v>
      </c>
      <c r="BC5" s="124">
        <v>0</v>
      </c>
      <c r="BD5" s="124">
        <v>0</v>
      </c>
      <c r="BE5" s="125">
        <v>746.56802349365762</v>
      </c>
      <c r="BF5" s="125">
        <v>770.09279297918067</v>
      </c>
      <c r="BG5" s="125">
        <v>804.40634144452395</v>
      </c>
      <c r="BH5" s="125"/>
    </row>
    <row r="6" spans="1:60" s="38" customFormat="1">
      <c r="A6" t="s">
        <v>59</v>
      </c>
      <c r="B6" t="s">
        <v>1151</v>
      </c>
      <c r="C6" s="124">
        <v>0</v>
      </c>
      <c r="D6" s="124">
        <v>0</v>
      </c>
      <c r="E6" s="124">
        <v>0</v>
      </c>
      <c r="F6" s="124">
        <v>0</v>
      </c>
      <c r="G6" s="124">
        <v>0</v>
      </c>
      <c r="H6" s="124">
        <v>0</v>
      </c>
      <c r="I6" s="124">
        <v>0</v>
      </c>
      <c r="J6" s="124">
        <v>0</v>
      </c>
      <c r="K6" s="124">
        <v>0</v>
      </c>
      <c r="L6" s="124">
        <v>0</v>
      </c>
      <c r="M6" s="124">
        <v>0</v>
      </c>
      <c r="N6" s="124">
        <v>0</v>
      </c>
      <c r="O6" s="124">
        <v>0</v>
      </c>
      <c r="P6" s="124">
        <v>0</v>
      </c>
      <c r="Q6" s="124">
        <v>0</v>
      </c>
      <c r="R6" s="124">
        <v>0</v>
      </c>
      <c r="S6" s="124">
        <v>0</v>
      </c>
      <c r="T6" s="124">
        <v>0</v>
      </c>
      <c r="U6" s="124">
        <v>0</v>
      </c>
      <c r="V6" s="124">
        <v>0</v>
      </c>
      <c r="W6" s="124">
        <v>0</v>
      </c>
      <c r="X6" s="124">
        <v>0</v>
      </c>
      <c r="Y6" s="124">
        <v>0</v>
      </c>
      <c r="Z6" s="124">
        <v>0</v>
      </c>
      <c r="AA6" s="124">
        <v>0</v>
      </c>
      <c r="AB6" s="124">
        <v>0</v>
      </c>
      <c r="AC6" s="124">
        <v>0</v>
      </c>
      <c r="AD6" s="124">
        <v>0</v>
      </c>
      <c r="AE6" s="124">
        <v>0</v>
      </c>
      <c r="AF6" s="124">
        <v>0</v>
      </c>
      <c r="AG6" s="124">
        <v>0</v>
      </c>
      <c r="AH6" s="124">
        <v>0</v>
      </c>
      <c r="AI6" s="124">
        <v>0</v>
      </c>
      <c r="AJ6" s="124">
        <v>0</v>
      </c>
      <c r="AK6" s="124">
        <v>0</v>
      </c>
      <c r="AL6" s="124">
        <v>0</v>
      </c>
      <c r="AM6" s="124">
        <v>0</v>
      </c>
      <c r="AN6" s="124">
        <v>0</v>
      </c>
      <c r="AO6" s="124">
        <v>0</v>
      </c>
      <c r="AP6" s="124">
        <v>0</v>
      </c>
      <c r="AQ6" s="124">
        <v>0</v>
      </c>
      <c r="AR6" s="124">
        <v>0</v>
      </c>
      <c r="AS6" s="124">
        <v>0</v>
      </c>
      <c r="AT6" s="124">
        <v>0</v>
      </c>
      <c r="AU6" s="124">
        <v>0</v>
      </c>
      <c r="AV6" s="124">
        <v>0</v>
      </c>
      <c r="AW6" s="124">
        <v>0</v>
      </c>
      <c r="AX6" s="124">
        <v>0</v>
      </c>
      <c r="AY6" s="124">
        <v>0</v>
      </c>
      <c r="AZ6" s="124">
        <v>0</v>
      </c>
      <c r="BA6" s="124">
        <v>0</v>
      </c>
      <c r="BB6" s="124">
        <v>0</v>
      </c>
      <c r="BC6" s="124">
        <v>0</v>
      </c>
      <c r="BD6" s="124">
        <v>0</v>
      </c>
      <c r="BE6" s="125">
        <v>663.41719138240205</v>
      </c>
      <c r="BF6" s="125">
        <v>657.70199429400918</v>
      </c>
      <c r="BG6" s="125">
        <v>710.27368446697312</v>
      </c>
      <c r="BH6" s="125"/>
    </row>
    <row r="7" spans="1:60">
      <c r="A7" t="s">
        <v>59</v>
      </c>
      <c r="B7" t="s">
        <v>1152</v>
      </c>
      <c r="C7" s="24">
        <f>pv!C157</f>
        <v>5</v>
      </c>
      <c r="D7" s="24">
        <f>pv!D157</f>
        <v>21</v>
      </c>
      <c r="E7" s="24">
        <f>pv!E157</f>
        <v>75.097766355140195</v>
      </c>
      <c r="F7" s="24">
        <f>wind!C51</f>
        <v>46</v>
      </c>
      <c r="G7" s="24">
        <f>wind!D51</f>
        <v>115</v>
      </c>
      <c r="H7" s="24">
        <f>wind!E51</f>
        <v>325</v>
      </c>
      <c r="I7" s="24">
        <f>wind!C63</f>
        <v>6</v>
      </c>
      <c r="J7" s="24">
        <f>wind!D63</f>
        <v>1.35</v>
      </c>
      <c r="K7" s="24">
        <f>wind!E63</f>
        <v>2.4000000000000004</v>
      </c>
      <c r="L7" s="24">
        <f>hydro!J150</f>
        <v>27</v>
      </c>
      <c r="M7" s="24">
        <f>hydro!K150</f>
        <v>1.478</v>
      </c>
      <c r="N7" s="24">
        <f>hydro!L150</f>
        <v>6.5318310876632264</v>
      </c>
      <c r="O7" s="24">
        <v>0</v>
      </c>
      <c r="P7" s="24">
        <v>0</v>
      </c>
      <c r="Q7" s="24">
        <v>0</v>
      </c>
      <c r="R7" s="24">
        <v>0</v>
      </c>
      <c r="S7" s="24">
        <f>'wood and waste'!C108</f>
        <v>68.801203975509111</v>
      </c>
      <c r="T7" s="24">
        <f>'wood and waste'!D108</f>
        <v>90.244514404768196</v>
      </c>
      <c r="U7" s="24">
        <v>0</v>
      </c>
      <c r="V7" s="24">
        <f>'wood and waste'!C116</f>
        <v>0.92140199560290881</v>
      </c>
      <c r="W7" s="24">
        <f>'wood and waste'!G116</f>
        <v>10.8965</v>
      </c>
      <c r="X7" s="24">
        <v>0</v>
      </c>
      <c r="Y7" s="24">
        <f>'wood and waste'!C124</f>
        <v>0.66376470065956361</v>
      </c>
      <c r="Z7" s="24">
        <f>'wood and waste'!G124</f>
        <v>9.5940549833333328</v>
      </c>
      <c r="AA7" s="124">
        <v>0</v>
      </c>
      <c r="AB7" s="24">
        <f>'wood and waste'!D143</f>
        <v>3.0220049940412008</v>
      </c>
      <c r="AC7" s="24">
        <f>'wood and waste'!E143</f>
        <v>25.40722717212417</v>
      </c>
      <c r="AD7" s="24">
        <f>'roof solar'!C82</f>
        <v>10267.950000000001</v>
      </c>
      <c r="AE7" s="24">
        <f>'roof solar'!D82</f>
        <v>20.535900000000002</v>
      </c>
      <c r="AF7" s="24">
        <f>'roof solar'!E82</f>
        <v>19.693928100000001</v>
      </c>
      <c r="AG7" s="24">
        <f>'roof solar'!F82+'roof solar'!I82+'roof solar'!L82</f>
        <v>1893</v>
      </c>
      <c r="AH7" s="24">
        <f>'roof solar'!G82+'roof solar'!J82+'roof solar'!M82</f>
        <v>11.2</v>
      </c>
      <c r="AI7" s="24">
        <f>'roof solar'!H82+'roof solar'!K82+'roof solar'!N82</f>
        <v>10.7408</v>
      </c>
      <c r="AJ7" s="24">
        <f>'roof solar'!C75</f>
        <v>9214.5</v>
      </c>
      <c r="AK7" s="24">
        <f>'roof solar'!D75</f>
        <v>18.428999999999998</v>
      </c>
      <c r="AL7" s="24">
        <f>'roof solar'!E75</f>
        <v>12.915043199999998</v>
      </c>
      <c r="AM7" s="24">
        <f>'roof solar'!F75</f>
        <v>268</v>
      </c>
      <c r="AN7" s="24">
        <f>'roof solar'!G75</f>
        <v>2.68</v>
      </c>
      <c r="AO7" s="24">
        <f>'roof solar'!H75</f>
        <v>1.8781440000000005</v>
      </c>
      <c r="AP7" s="24">
        <f>'space heating'!C66</f>
        <v>15299.197432083361</v>
      </c>
      <c r="AQ7" s="24">
        <f>'space heating'!D66</f>
        <v>152.99197432083363</v>
      </c>
      <c r="AR7" s="24">
        <f>'space heating'!E66</f>
        <v>167.52621188131283</v>
      </c>
      <c r="AS7" s="24">
        <f>'space heating'!F66+'space heating'!I66</f>
        <v>71.5</v>
      </c>
      <c r="AT7" s="24">
        <f>'space heating'!G66+'space heating'!J66</f>
        <v>33.606249999999996</v>
      </c>
      <c r="AU7" s="24">
        <f>'space heating'!H66+'space heating'!K66</f>
        <v>115.0088355</v>
      </c>
      <c r="AV7" s="24">
        <f>'space heating'!C73</f>
        <v>11597.28055849361</v>
      </c>
      <c r="AW7" s="24">
        <f>'space heating'!D73</f>
        <v>115.97280558493611</v>
      </c>
      <c r="AX7" s="24">
        <f>'space heating'!E73</f>
        <v>132.06983100012525</v>
      </c>
      <c r="AY7" s="24">
        <f>'space heating'!F73</f>
        <v>395</v>
      </c>
      <c r="AZ7" s="24">
        <f>'space heating'!G73</f>
        <v>21.725000000000001</v>
      </c>
      <c r="BA7" s="24">
        <f>'space heating'!H73</f>
        <v>66.608850000000004</v>
      </c>
      <c r="BB7" s="24">
        <f>'micro wind'!L75</f>
        <v>21098.061723619623</v>
      </c>
      <c r="BC7" s="24">
        <f>'micro wind'!M75</f>
        <v>109.30372250022732</v>
      </c>
      <c r="BD7" s="24">
        <f>'micro wind'!N75</f>
        <v>163.77726871556209</v>
      </c>
      <c r="BE7" s="125">
        <v>0</v>
      </c>
      <c r="BF7" s="125">
        <v>0</v>
      </c>
      <c r="BG7" s="125">
        <v>0</v>
      </c>
      <c r="BH7" s="125"/>
    </row>
    <row r="8" spans="1:60">
      <c r="A8" t="s">
        <v>61</v>
      </c>
      <c r="B8" t="s">
        <v>1150</v>
      </c>
      <c r="C8" s="124">
        <v>0</v>
      </c>
      <c r="D8" s="124">
        <v>0</v>
      </c>
      <c r="E8" s="124">
        <v>0</v>
      </c>
      <c r="F8" s="124">
        <v>0</v>
      </c>
      <c r="G8" s="124">
        <v>0</v>
      </c>
      <c r="H8" s="124">
        <v>0</v>
      </c>
      <c r="I8" s="124">
        <v>0</v>
      </c>
      <c r="J8" s="124">
        <v>0</v>
      </c>
      <c r="K8" s="124">
        <v>0</v>
      </c>
      <c r="L8" s="124">
        <v>0</v>
      </c>
      <c r="M8" s="124">
        <v>0</v>
      </c>
      <c r="N8" s="124">
        <v>0</v>
      </c>
      <c r="O8" s="124">
        <v>0</v>
      </c>
      <c r="P8" s="124">
        <v>0</v>
      </c>
      <c r="Q8" s="124">
        <v>0</v>
      </c>
      <c r="R8" s="124">
        <v>0</v>
      </c>
      <c r="S8" s="124">
        <v>0</v>
      </c>
      <c r="T8" s="124">
        <v>0</v>
      </c>
      <c r="U8" s="124">
        <v>0</v>
      </c>
      <c r="V8" s="124">
        <v>0</v>
      </c>
      <c r="W8" s="124">
        <v>0</v>
      </c>
      <c r="X8" s="124">
        <v>0</v>
      </c>
      <c r="Y8" s="124">
        <v>0</v>
      </c>
      <c r="Z8" s="124">
        <v>0</v>
      </c>
      <c r="AA8" s="124">
        <v>0</v>
      </c>
      <c r="AB8" s="124">
        <v>0</v>
      </c>
      <c r="AC8" s="124">
        <v>0</v>
      </c>
      <c r="AD8" s="124">
        <v>0</v>
      </c>
      <c r="AE8" s="124">
        <v>0</v>
      </c>
      <c r="AF8" s="124">
        <v>0</v>
      </c>
      <c r="AG8" s="124">
        <v>0</v>
      </c>
      <c r="AH8" s="124">
        <v>0</v>
      </c>
      <c r="AI8" s="124">
        <v>0</v>
      </c>
      <c r="AJ8" s="124">
        <v>0</v>
      </c>
      <c r="AK8" s="124">
        <v>0</v>
      </c>
      <c r="AL8" s="124">
        <v>0</v>
      </c>
      <c r="AM8" s="124">
        <v>0</v>
      </c>
      <c r="AN8" s="124">
        <v>0</v>
      </c>
      <c r="AO8" s="124">
        <v>0</v>
      </c>
      <c r="AP8" s="124">
        <v>0</v>
      </c>
      <c r="AQ8" s="124">
        <v>0</v>
      </c>
      <c r="AR8" s="124">
        <v>0</v>
      </c>
      <c r="AS8" s="124">
        <v>0</v>
      </c>
      <c r="AT8" s="124">
        <v>0</v>
      </c>
      <c r="AU8" s="124">
        <v>0</v>
      </c>
      <c r="AV8" s="124">
        <v>0</v>
      </c>
      <c r="AW8" s="124">
        <v>0</v>
      </c>
      <c r="AX8" s="124">
        <v>0</v>
      </c>
      <c r="AY8" s="124">
        <v>0</v>
      </c>
      <c r="AZ8" s="124">
        <v>0</v>
      </c>
      <c r="BA8" s="124">
        <v>0</v>
      </c>
      <c r="BB8" s="124">
        <v>0</v>
      </c>
      <c r="BC8" s="124">
        <v>0</v>
      </c>
      <c r="BD8" s="124">
        <v>0</v>
      </c>
      <c r="BE8" s="125">
        <v>481.29555971417284</v>
      </c>
      <c r="BF8" s="125">
        <v>504.09301602345636</v>
      </c>
      <c r="BG8" s="125">
        <v>677.57991989263303</v>
      </c>
      <c r="BH8" s="125"/>
    </row>
    <row r="9" spans="1:60">
      <c r="A9" t="s">
        <v>61</v>
      </c>
      <c r="B9" t="s">
        <v>1151</v>
      </c>
      <c r="C9" s="124">
        <v>0</v>
      </c>
      <c r="D9" s="124">
        <v>0</v>
      </c>
      <c r="E9" s="124">
        <v>0</v>
      </c>
      <c r="F9" s="124">
        <v>0</v>
      </c>
      <c r="G9" s="124">
        <v>0</v>
      </c>
      <c r="H9" s="124">
        <v>0</v>
      </c>
      <c r="I9" s="124">
        <v>0</v>
      </c>
      <c r="J9" s="124">
        <v>0</v>
      </c>
      <c r="K9" s="124">
        <v>0</v>
      </c>
      <c r="L9" s="124">
        <v>0</v>
      </c>
      <c r="M9" s="124">
        <v>0</v>
      </c>
      <c r="N9" s="124">
        <v>0</v>
      </c>
      <c r="O9" s="124">
        <v>0</v>
      </c>
      <c r="P9" s="124">
        <v>0</v>
      </c>
      <c r="Q9" s="124">
        <v>0</v>
      </c>
      <c r="R9" s="124">
        <v>0</v>
      </c>
      <c r="S9" s="124">
        <v>0</v>
      </c>
      <c r="T9" s="124">
        <v>0</v>
      </c>
      <c r="U9" s="124">
        <v>0</v>
      </c>
      <c r="V9" s="124">
        <v>0</v>
      </c>
      <c r="W9" s="124">
        <v>0</v>
      </c>
      <c r="X9" s="124">
        <v>0</v>
      </c>
      <c r="Y9" s="124">
        <v>0</v>
      </c>
      <c r="Z9" s="124">
        <v>0</v>
      </c>
      <c r="AA9" s="124">
        <v>0</v>
      </c>
      <c r="AB9" s="124">
        <v>0</v>
      </c>
      <c r="AC9" s="124">
        <v>0</v>
      </c>
      <c r="AD9" s="124">
        <v>0</v>
      </c>
      <c r="AE9" s="124">
        <v>0</v>
      </c>
      <c r="AF9" s="124">
        <v>0</v>
      </c>
      <c r="AG9" s="124">
        <v>0</v>
      </c>
      <c r="AH9" s="124">
        <v>0</v>
      </c>
      <c r="AI9" s="124">
        <v>0</v>
      </c>
      <c r="AJ9" s="124">
        <v>0</v>
      </c>
      <c r="AK9" s="124">
        <v>0</v>
      </c>
      <c r="AL9" s="124">
        <v>0</v>
      </c>
      <c r="AM9" s="124">
        <v>0</v>
      </c>
      <c r="AN9" s="124">
        <v>0</v>
      </c>
      <c r="AO9" s="124">
        <v>0</v>
      </c>
      <c r="AP9" s="124">
        <v>0</v>
      </c>
      <c r="AQ9" s="124">
        <v>0</v>
      </c>
      <c r="AR9" s="124">
        <v>0</v>
      </c>
      <c r="AS9" s="124">
        <v>0</v>
      </c>
      <c r="AT9" s="124">
        <v>0</v>
      </c>
      <c r="AU9" s="124">
        <v>0</v>
      </c>
      <c r="AV9" s="124">
        <v>0</v>
      </c>
      <c r="AW9" s="124">
        <v>0</v>
      </c>
      <c r="AX9" s="124">
        <v>0</v>
      </c>
      <c r="AY9" s="124">
        <v>0</v>
      </c>
      <c r="AZ9" s="124">
        <v>0</v>
      </c>
      <c r="BA9" s="124">
        <v>0</v>
      </c>
      <c r="BB9" s="124">
        <v>0</v>
      </c>
      <c r="BC9" s="124">
        <v>0</v>
      </c>
      <c r="BD9" s="124">
        <v>0</v>
      </c>
      <c r="BE9" s="125">
        <v>421.50552191840131</v>
      </c>
      <c r="BF9" s="125">
        <v>427.49714714142192</v>
      </c>
      <c r="BG9" s="125">
        <v>598.28865267115464</v>
      </c>
      <c r="BH9" s="125"/>
    </row>
    <row r="10" spans="1:60">
      <c r="A10" t="s">
        <v>61</v>
      </c>
      <c r="B10" t="s">
        <v>1152</v>
      </c>
      <c r="C10" s="24">
        <f>pv!C158</f>
        <v>7</v>
      </c>
      <c r="D10" s="24">
        <f>pv!D158</f>
        <v>29.400000000000002</v>
      </c>
      <c r="E10" s="24">
        <f>pv!E158</f>
        <v>105.13687289719627</v>
      </c>
      <c r="F10" s="24">
        <f>wind!C52</f>
        <v>175</v>
      </c>
      <c r="G10" s="24">
        <f>wind!D52</f>
        <v>437</v>
      </c>
      <c r="H10" s="24">
        <f>wind!E52</f>
        <v>966</v>
      </c>
      <c r="I10" s="24">
        <f>wind!C64</f>
        <v>3</v>
      </c>
      <c r="J10" s="24">
        <f>wind!D64</f>
        <v>0.67500000000000004</v>
      </c>
      <c r="K10" s="24">
        <f>wind!E64</f>
        <v>1.2000000000000002</v>
      </c>
      <c r="L10" s="24">
        <f>hydro!J151</f>
        <v>46</v>
      </c>
      <c r="M10" s="24">
        <f>hydro!K151</f>
        <v>4.8930000000000007</v>
      </c>
      <c r="N10" s="24">
        <f>hydro!L151</f>
        <v>21.853072153325819</v>
      </c>
      <c r="O10" s="24">
        <v>0</v>
      </c>
      <c r="P10" s="24">
        <v>0</v>
      </c>
      <c r="Q10" s="24">
        <v>0</v>
      </c>
      <c r="R10" s="24">
        <v>0</v>
      </c>
      <c r="S10" s="24">
        <f>'wood and waste'!C109</f>
        <v>92.058206086811296</v>
      </c>
      <c r="T10" s="24">
        <f>'wood and waste'!D109</f>
        <v>120.41189130982447</v>
      </c>
      <c r="U10" s="24">
        <v>0</v>
      </c>
      <c r="V10" s="24">
        <f>'wood and waste'!C117</f>
        <v>0.4996617622188399</v>
      </c>
      <c r="W10" s="24">
        <f>'wood and waste'!G117</f>
        <v>5.9089999999999998</v>
      </c>
      <c r="X10" s="24">
        <v>0</v>
      </c>
      <c r="Y10" s="24">
        <f>'wood and waste'!C125</f>
        <v>0.66499512261119575</v>
      </c>
      <c r="Z10" s="24">
        <f>'wood and waste'!G125</f>
        <v>9.6118395022222227</v>
      </c>
      <c r="AA10" s="124">
        <v>0</v>
      </c>
      <c r="AB10" s="24">
        <f>'wood and waste'!D144</f>
        <v>1.915328301458487</v>
      </c>
      <c r="AC10" s="24">
        <f>'wood and waste'!E144</f>
        <v>16.102945349299134</v>
      </c>
      <c r="AD10" s="24">
        <f>'roof solar'!C83</f>
        <v>7111.25</v>
      </c>
      <c r="AE10" s="24">
        <f>'roof solar'!D83</f>
        <v>14.2225</v>
      </c>
      <c r="AF10" s="24">
        <f>'roof solar'!E83</f>
        <v>13.6393775</v>
      </c>
      <c r="AG10" s="24">
        <f>'roof solar'!F83+'roof solar'!I83+'roof solar'!L83</f>
        <v>1212</v>
      </c>
      <c r="AH10" s="24">
        <f>'roof solar'!G83+'roof solar'!J83+'roof solar'!M83</f>
        <v>6.97</v>
      </c>
      <c r="AI10" s="24">
        <f>'roof solar'!H83+'roof solar'!K83+'roof solar'!N83</f>
        <v>6.6842299999999994</v>
      </c>
      <c r="AJ10" s="24">
        <f>'roof solar'!C76</f>
        <v>5681.25</v>
      </c>
      <c r="AK10" s="24">
        <f>'roof solar'!D76</f>
        <v>11.362500000000001</v>
      </c>
      <c r="AL10" s="24">
        <f>'roof solar'!E76</f>
        <v>7.9628399999999999</v>
      </c>
      <c r="AM10" s="24">
        <f>'roof solar'!F76</f>
        <v>128</v>
      </c>
      <c r="AN10" s="24">
        <f>'roof solar'!G76</f>
        <v>1.28</v>
      </c>
      <c r="AO10" s="24">
        <f>'roof solar'!H76</f>
        <v>0.89702400000000015</v>
      </c>
      <c r="AP10" s="24">
        <f>'space heating'!C67</f>
        <v>10884.558976886932</v>
      </c>
      <c r="AQ10" s="24">
        <f>'space heating'!D67</f>
        <v>108.84558976886932</v>
      </c>
      <c r="AR10" s="24">
        <f>'space heating'!E67</f>
        <v>119.1859207969119</v>
      </c>
      <c r="AS10" s="24">
        <f>'space heating'!F67+'space heating'!I67</f>
        <v>47.75</v>
      </c>
      <c r="AT10" s="24">
        <f>'space heating'!G67+'space heating'!J67</f>
        <v>17.09375</v>
      </c>
      <c r="AU10" s="24">
        <f>'space heating'!H67+'space heating'!K67</f>
        <v>55.561833</v>
      </c>
      <c r="AV10" s="24">
        <f>'space heating'!C74</f>
        <v>6521.318315250116</v>
      </c>
      <c r="AW10" s="24">
        <f>'space heating'!D74</f>
        <v>65.213183152501159</v>
      </c>
      <c r="AX10" s="24">
        <f>'space heating'!E74</f>
        <v>74.264772974068322</v>
      </c>
      <c r="AY10" s="24">
        <f>'space heating'!F74</f>
        <v>261</v>
      </c>
      <c r="AZ10" s="24">
        <f>'space heating'!G74</f>
        <v>14.355</v>
      </c>
      <c r="BA10" s="24">
        <f>'space heating'!H74</f>
        <v>44.012430000000002</v>
      </c>
      <c r="BB10" s="24">
        <f>'micro wind'!L76</f>
        <v>13452.342682760345</v>
      </c>
      <c r="BC10" s="24">
        <f>'micro wind'!M76</f>
        <v>69.9762184726914</v>
      </c>
      <c r="BD10" s="24">
        <f>'micro wind'!N76</f>
        <v>104.92195647900826</v>
      </c>
      <c r="BE10" s="125">
        <v>0</v>
      </c>
      <c r="BF10" s="125">
        <v>0</v>
      </c>
      <c r="BG10" s="125">
        <v>0</v>
      </c>
      <c r="BH10" s="125"/>
    </row>
    <row r="11" spans="1:60">
      <c r="A11" t="s">
        <v>227</v>
      </c>
      <c r="B11" t="s">
        <v>1150</v>
      </c>
      <c r="C11" s="124">
        <v>0</v>
      </c>
      <c r="D11" s="124">
        <v>0</v>
      </c>
      <c r="E11" s="124">
        <v>0</v>
      </c>
      <c r="F11" s="124">
        <v>0</v>
      </c>
      <c r="G11" s="124">
        <v>0</v>
      </c>
      <c r="H11" s="124">
        <v>0</v>
      </c>
      <c r="I11" s="124">
        <v>0</v>
      </c>
      <c r="J11" s="124">
        <v>0</v>
      </c>
      <c r="K11" s="124">
        <v>0</v>
      </c>
      <c r="L11" s="124">
        <v>0</v>
      </c>
      <c r="M11" s="124">
        <v>0</v>
      </c>
      <c r="N11" s="124">
        <v>0</v>
      </c>
      <c r="O11" s="124">
        <v>0</v>
      </c>
      <c r="P11" s="124">
        <v>0</v>
      </c>
      <c r="Q11" s="124">
        <v>0</v>
      </c>
      <c r="R11" s="124">
        <v>0</v>
      </c>
      <c r="S11" s="124">
        <v>0</v>
      </c>
      <c r="T11" s="124">
        <v>0</v>
      </c>
      <c r="U11" s="124">
        <v>0</v>
      </c>
      <c r="V11" s="124">
        <v>0</v>
      </c>
      <c r="W11" s="124">
        <v>0</v>
      </c>
      <c r="X11" s="124">
        <v>0</v>
      </c>
      <c r="Y11" s="124">
        <v>0</v>
      </c>
      <c r="Z11" s="124">
        <v>0</v>
      </c>
      <c r="AA11" s="124">
        <v>0</v>
      </c>
      <c r="AB11" s="124">
        <v>0</v>
      </c>
      <c r="AC11" s="124">
        <v>0</v>
      </c>
      <c r="AD11" s="124">
        <v>0</v>
      </c>
      <c r="AE11" s="124">
        <v>0</v>
      </c>
      <c r="AF11" s="124">
        <v>0</v>
      </c>
      <c r="AG11" s="124">
        <v>0</v>
      </c>
      <c r="AH11" s="124">
        <v>0</v>
      </c>
      <c r="AI11" s="124">
        <v>0</v>
      </c>
      <c r="AJ11" s="124">
        <v>0</v>
      </c>
      <c r="AK11" s="124">
        <v>0</v>
      </c>
      <c r="AL11" s="124">
        <v>0</v>
      </c>
      <c r="AM11" s="124">
        <v>0</v>
      </c>
      <c r="AN11" s="124">
        <v>0</v>
      </c>
      <c r="AO11" s="124">
        <v>0</v>
      </c>
      <c r="AP11" s="124">
        <v>0</v>
      </c>
      <c r="AQ11" s="124">
        <v>0</v>
      </c>
      <c r="AR11" s="124">
        <v>0</v>
      </c>
      <c r="AS11" s="124">
        <v>0</v>
      </c>
      <c r="AT11" s="124">
        <v>0</v>
      </c>
      <c r="AU11" s="124">
        <v>0</v>
      </c>
      <c r="AV11" s="124">
        <v>0</v>
      </c>
      <c r="AW11" s="124">
        <v>0</v>
      </c>
      <c r="AX11" s="124">
        <v>0</v>
      </c>
      <c r="AY11" s="124">
        <v>0</v>
      </c>
      <c r="AZ11" s="124">
        <v>0</v>
      </c>
      <c r="BA11" s="124">
        <v>0</v>
      </c>
      <c r="BB11" s="124">
        <v>0</v>
      </c>
      <c r="BC11" s="124">
        <v>0</v>
      </c>
      <c r="BD11" s="124">
        <v>0</v>
      </c>
      <c r="BE11" s="125">
        <v>206.12075088932974</v>
      </c>
      <c r="BF11" s="125">
        <v>319.62377265831788</v>
      </c>
      <c r="BG11" s="125">
        <v>421.47293519433288</v>
      </c>
      <c r="BH11" s="125"/>
    </row>
    <row r="12" spans="1:60">
      <c r="A12" t="s">
        <v>227</v>
      </c>
      <c r="B12" t="s">
        <v>1151</v>
      </c>
      <c r="C12" s="124">
        <v>0</v>
      </c>
      <c r="D12" s="124">
        <v>0</v>
      </c>
      <c r="E12" s="124">
        <v>0</v>
      </c>
      <c r="F12" s="124">
        <v>0</v>
      </c>
      <c r="G12" s="124">
        <v>0</v>
      </c>
      <c r="H12" s="124">
        <v>0</v>
      </c>
      <c r="I12" s="124">
        <v>0</v>
      </c>
      <c r="J12" s="124">
        <v>0</v>
      </c>
      <c r="K12" s="124">
        <v>0</v>
      </c>
      <c r="L12" s="124">
        <v>0</v>
      </c>
      <c r="M12" s="124">
        <v>0</v>
      </c>
      <c r="N12" s="124">
        <v>0</v>
      </c>
      <c r="O12" s="124">
        <v>0</v>
      </c>
      <c r="P12" s="124">
        <v>0</v>
      </c>
      <c r="Q12" s="124">
        <v>0</v>
      </c>
      <c r="R12" s="124">
        <v>0</v>
      </c>
      <c r="S12" s="124">
        <v>0</v>
      </c>
      <c r="T12" s="124">
        <v>0</v>
      </c>
      <c r="U12" s="124">
        <v>0</v>
      </c>
      <c r="V12" s="124">
        <v>0</v>
      </c>
      <c r="W12" s="124">
        <v>0</v>
      </c>
      <c r="X12" s="124">
        <v>0</v>
      </c>
      <c r="Y12" s="124">
        <v>0</v>
      </c>
      <c r="Z12" s="124">
        <v>0</v>
      </c>
      <c r="AA12" s="124">
        <v>0</v>
      </c>
      <c r="AB12" s="124">
        <v>0</v>
      </c>
      <c r="AC12" s="124">
        <v>0</v>
      </c>
      <c r="AD12" s="124">
        <v>0</v>
      </c>
      <c r="AE12" s="124">
        <v>0</v>
      </c>
      <c r="AF12" s="124">
        <v>0</v>
      </c>
      <c r="AG12" s="124">
        <v>0</v>
      </c>
      <c r="AH12" s="124">
        <v>0</v>
      </c>
      <c r="AI12" s="124">
        <v>0</v>
      </c>
      <c r="AJ12" s="124">
        <v>0</v>
      </c>
      <c r="AK12" s="124">
        <v>0</v>
      </c>
      <c r="AL12" s="124">
        <v>0</v>
      </c>
      <c r="AM12" s="124">
        <v>0</v>
      </c>
      <c r="AN12" s="124">
        <v>0</v>
      </c>
      <c r="AO12" s="124">
        <v>0</v>
      </c>
      <c r="AP12" s="124">
        <v>0</v>
      </c>
      <c r="AQ12" s="124">
        <v>0</v>
      </c>
      <c r="AR12" s="124">
        <v>0</v>
      </c>
      <c r="AS12" s="124">
        <v>0</v>
      </c>
      <c r="AT12" s="124">
        <v>0</v>
      </c>
      <c r="AU12" s="124">
        <v>0</v>
      </c>
      <c r="AV12" s="124">
        <v>0</v>
      </c>
      <c r="AW12" s="124">
        <v>0</v>
      </c>
      <c r="AX12" s="124">
        <v>0</v>
      </c>
      <c r="AY12" s="124">
        <v>0</v>
      </c>
      <c r="AZ12" s="124">
        <v>0</v>
      </c>
      <c r="BA12" s="124">
        <v>0</v>
      </c>
      <c r="BB12" s="124">
        <v>0</v>
      </c>
      <c r="BC12" s="124">
        <v>0</v>
      </c>
      <c r="BD12" s="124">
        <v>0</v>
      </c>
      <c r="BE12" s="125">
        <v>182.74673498132245</v>
      </c>
      <c r="BF12" s="125">
        <v>271.67733401058899</v>
      </c>
      <c r="BG12" s="125">
        <v>372.15163426733642</v>
      </c>
      <c r="BH12" s="125"/>
    </row>
    <row r="13" spans="1:60">
      <c r="A13" t="s">
        <v>227</v>
      </c>
      <c r="B13" t="s">
        <v>1152</v>
      </c>
      <c r="C13" s="24">
        <f>pv!C159</f>
        <v>0</v>
      </c>
      <c r="D13" s="24">
        <f>pv!D159</f>
        <v>0</v>
      </c>
      <c r="E13" s="24">
        <f>pv!E159</f>
        <v>0</v>
      </c>
      <c r="F13" s="24">
        <f>wind!C53</f>
        <v>0</v>
      </c>
      <c r="G13" s="24">
        <f>wind!D53</f>
        <v>0</v>
      </c>
      <c r="H13" s="24">
        <f>wind!E53</f>
        <v>0</v>
      </c>
      <c r="I13" s="24">
        <f>wind!C65</f>
        <v>3</v>
      </c>
      <c r="J13" s="24">
        <f>wind!D65</f>
        <v>0.67500000000000004</v>
      </c>
      <c r="K13" s="24">
        <f>wind!E65</f>
        <v>1.2000000000000002</v>
      </c>
      <c r="L13" s="24">
        <f>hydro!J152</f>
        <v>31</v>
      </c>
      <c r="M13" s="24">
        <f>hydro!K152</f>
        <v>3.8150000000000004</v>
      </c>
      <c r="N13" s="24">
        <f>hydro!L152</f>
        <v>16.979416009019168</v>
      </c>
      <c r="O13" s="24">
        <v>1</v>
      </c>
      <c r="P13" s="24">
        <f>geothermal!B12</f>
        <v>20.3125</v>
      </c>
      <c r="Q13" s="24">
        <f>geothermal!B14</f>
        <v>169.04062500000001</v>
      </c>
      <c r="R13" s="24">
        <v>0</v>
      </c>
      <c r="S13" s="24">
        <f>'wood and waste'!C110</f>
        <v>76.334752711546557</v>
      </c>
      <c r="T13" s="24">
        <f>'wood and waste'!D110</f>
        <v>99.027184575314791</v>
      </c>
      <c r="U13" s="24">
        <v>0</v>
      </c>
      <c r="V13" s="24">
        <f>'wood and waste'!C118</f>
        <v>0.26790881458838534</v>
      </c>
      <c r="W13" s="24">
        <f>'wood and waste'!G118</f>
        <v>3.1682896413222452</v>
      </c>
      <c r="X13" s="24">
        <v>0</v>
      </c>
      <c r="Y13" s="24">
        <f>'wood and waste'!C126</f>
        <v>8.0504889934001622E-2</v>
      </c>
      <c r="Z13" s="24">
        <f>'wood and waste'!G126</f>
        <v>1.1636176791060595</v>
      </c>
      <c r="AA13" s="124">
        <v>0</v>
      </c>
      <c r="AB13" s="24">
        <f>'wood and waste'!D145</f>
        <v>1.3837028132754823</v>
      </c>
      <c r="AC13" s="24">
        <f>'wood and waste'!E145</f>
        <v>11.633353281982759</v>
      </c>
      <c r="AD13" s="24">
        <f>'roof solar'!C84</f>
        <v>3855.9453929376023</v>
      </c>
      <c r="AE13" s="24">
        <f>'roof solar'!D84</f>
        <v>7.7118907858752044</v>
      </c>
      <c r="AF13" s="24">
        <f>'roof solar'!E84</f>
        <v>7.3957032636543207</v>
      </c>
      <c r="AG13" s="24">
        <f>'roof solar'!F84+'roof solar'!I84+'roof solar'!L84</f>
        <v>764.25491837383197</v>
      </c>
      <c r="AH13" s="24">
        <f>'roof solar'!G84+'roof solar'!J84+'roof solar'!M84</f>
        <v>4.3444113877862014</v>
      </c>
      <c r="AI13" s="24">
        <f>'roof solar'!H84+'roof solar'!K84+'roof solar'!N84</f>
        <v>4.1662905208869665</v>
      </c>
      <c r="AJ13" s="24">
        <f>'roof solar'!C77</f>
        <v>3530.9453929376023</v>
      </c>
      <c r="AK13" s="24">
        <f>'roof solar'!D77</f>
        <v>7.0618907858752049</v>
      </c>
      <c r="AL13" s="24">
        <f>'roof solar'!E77</f>
        <v>4.9489730627413442</v>
      </c>
      <c r="AM13" s="24">
        <f>'roof solar'!F77</f>
        <v>78.627359183408259</v>
      </c>
      <c r="AN13" s="24">
        <f>'roof solar'!G77</f>
        <v>0.78627359183408263</v>
      </c>
      <c r="AO13" s="24">
        <f>'roof solar'!H77</f>
        <v>0.55102053315732513</v>
      </c>
      <c r="AP13" s="24">
        <f>'space heating'!C68</f>
        <v>7151.1442321113518</v>
      </c>
      <c r="AQ13" s="24">
        <f>'space heating'!D68</f>
        <v>71.51144232111352</v>
      </c>
      <c r="AR13" s="24">
        <f>'space heating'!E68</f>
        <v>78.305029341619303</v>
      </c>
      <c r="AS13" s="24">
        <f>'space heating'!F68+'space heating'!I68</f>
        <v>26.828419897926032</v>
      </c>
      <c r="AT13" s="24">
        <f>'space heating'!G68+'space heating'!J68</f>
        <v>8.2283653073841183</v>
      </c>
      <c r="AU13" s="24">
        <f>'space heating'!H68+'space heating'!K68</f>
        <v>27.694444847269288</v>
      </c>
      <c r="AV13" s="24">
        <f>'space heating'!C75</f>
        <v>2763.1477858400176</v>
      </c>
      <c r="AW13" s="24">
        <f>'space heating'!D75</f>
        <v>27.631477858400174</v>
      </c>
      <c r="AX13" s="24">
        <f>'space heating'!E75</f>
        <v>31.466726985146121</v>
      </c>
      <c r="AY13" s="24">
        <f>'space heating'!F75</f>
        <v>165.90688979760594</v>
      </c>
      <c r="AZ13" s="24">
        <f>'space heating'!G75</f>
        <v>9.1248789388683278</v>
      </c>
      <c r="BA13" s="24">
        <f>'space heating'!H75</f>
        <v>27.976878826570289</v>
      </c>
      <c r="BB13" s="24">
        <f>'micro wind'!L77</f>
        <v>10644.110917659262</v>
      </c>
      <c r="BC13" s="24">
        <f>'micro wind'!M77</f>
        <v>58.602633391450752</v>
      </c>
      <c r="BD13" s="24">
        <f>'micro wind'!N77</f>
        <v>88.685451956017445</v>
      </c>
      <c r="BE13" s="125">
        <v>0</v>
      </c>
      <c r="BF13" s="125">
        <v>0</v>
      </c>
      <c r="BG13" s="125">
        <v>0</v>
      </c>
      <c r="BH13" s="125"/>
    </row>
    <row r="14" spans="1:60">
      <c r="A14" t="s">
        <v>228</v>
      </c>
      <c r="B14" t="s">
        <v>1150</v>
      </c>
      <c r="C14" s="124">
        <v>0</v>
      </c>
      <c r="D14" s="124">
        <v>0</v>
      </c>
      <c r="E14" s="124">
        <v>0</v>
      </c>
      <c r="F14" s="124">
        <v>0</v>
      </c>
      <c r="G14" s="124">
        <v>0</v>
      </c>
      <c r="H14" s="124">
        <v>0</v>
      </c>
      <c r="I14" s="124">
        <v>0</v>
      </c>
      <c r="J14" s="124">
        <v>0</v>
      </c>
      <c r="K14" s="124">
        <v>0</v>
      </c>
      <c r="L14" s="124">
        <v>0</v>
      </c>
      <c r="M14" s="124">
        <v>0</v>
      </c>
      <c r="N14" s="124">
        <v>0</v>
      </c>
      <c r="O14" s="124">
        <v>0</v>
      </c>
      <c r="P14" s="124">
        <v>0</v>
      </c>
      <c r="Q14" s="124">
        <v>0</v>
      </c>
      <c r="R14" s="124">
        <v>0</v>
      </c>
      <c r="S14" s="124">
        <v>0</v>
      </c>
      <c r="T14" s="124">
        <v>0</v>
      </c>
      <c r="U14" s="124">
        <v>0</v>
      </c>
      <c r="V14" s="124">
        <v>0</v>
      </c>
      <c r="W14" s="124">
        <v>0</v>
      </c>
      <c r="X14" s="124">
        <v>0</v>
      </c>
      <c r="Y14" s="124">
        <v>0</v>
      </c>
      <c r="Z14" s="124">
        <v>0</v>
      </c>
      <c r="AA14" s="124">
        <v>0</v>
      </c>
      <c r="AB14" s="124">
        <v>0</v>
      </c>
      <c r="AC14" s="124">
        <v>0</v>
      </c>
      <c r="AD14" s="124">
        <v>0</v>
      </c>
      <c r="AE14" s="124">
        <v>0</v>
      </c>
      <c r="AF14" s="124">
        <v>0</v>
      </c>
      <c r="AG14" s="124">
        <v>0</v>
      </c>
      <c r="AH14" s="124">
        <v>0</v>
      </c>
      <c r="AI14" s="124">
        <v>0</v>
      </c>
      <c r="AJ14" s="124">
        <v>0</v>
      </c>
      <c r="AK14" s="124">
        <v>0</v>
      </c>
      <c r="AL14" s="124">
        <v>0</v>
      </c>
      <c r="AM14" s="124">
        <v>0</v>
      </c>
      <c r="AN14" s="124">
        <v>0</v>
      </c>
      <c r="AO14" s="124">
        <v>0</v>
      </c>
      <c r="AP14" s="124">
        <v>0</v>
      </c>
      <c r="AQ14" s="124">
        <v>0</v>
      </c>
      <c r="AR14" s="124">
        <v>0</v>
      </c>
      <c r="AS14" s="124">
        <v>0</v>
      </c>
      <c r="AT14" s="124">
        <v>0</v>
      </c>
      <c r="AU14" s="124">
        <v>0</v>
      </c>
      <c r="AV14" s="124">
        <v>0</v>
      </c>
      <c r="AW14" s="124">
        <v>0</v>
      </c>
      <c r="AX14" s="124">
        <v>0</v>
      </c>
      <c r="AY14" s="124">
        <v>0</v>
      </c>
      <c r="AZ14" s="124">
        <v>0</v>
      </c>
      <c r="BA14" s="124">
        <v>0</v>
      </c>
      <c r="BB14" s="124">
        <v>0</v>
      </c>
      <c r="BC14" s="124">
        <v>0</v>
      </c>
      <c r="BD14" s="124">
        <v>0</v>
      </c>
      <c r="BE14" s="125">
        <v>1319.9389523037294</v>
      </c>
      <c r="BF14" s="125">
        <v>1404.2105660864174</v>
      </c>
      <c r="BG14" s="125">
        <v>1640.2051523233504</v>
      </c>
      <c r="BH14" s="125"/>
    </row>
    <row r="15" spans="1:60">
      <c r="A15" t="s">
        <v>228</v>
      </c>
      <c r="B15" t="s">
        <v>1151</v>
      </c>
      <c r="C15" s="124">
        <v>0</v>
      </c>
      <c r="D15" s="124">
        <v>0</v>
      </c>
      <c r="E15" s="124">
        <v>0</v>
      </c>
      <c r="F15" s="124">
        <v>0</v>
      </c>
      <c r="G15" s="124">
        <v>0</v>
      </c>
      <c r="H15" s="124">
        <v>0</v>
      </c>
      <c r="I15" s="124">
        <v>0</v>
      </c>
      <c r="J15" s="124">
        <v>0</v>
      </c>
      <c r="K15" s="124">
        <v>0</v>
      </c>
      <c r="L15" s="124">
        <v>0</v>
      </c>
      <c r="M15" s="124">
        <v>0</v>
      </c>
      <c r="N15" s="124">
        <v>0</v>
      </c>
      <c r="O15" s="124">
        <v>0</v>
      </c>
      <c r="P15" s="124">
        <v>0</v>
      </c>
      <c r="Q15" s="124">
        <v>0</v>
      </c>
      <c r="R15" s="124">
        <v>0</v>
      </c>
      <c r="S15" s="124">
        <v>0</v>
      </c>
      <c r="T15" s="124">
        <v>0</v>
      </c>
      <c r="U15" s="124">
        <v>0</v>
      </c>
      <c r="V15" s="124">
        <v>0</v>
      </c>
      <c r="W15" s="124">
        <v>0</v>
      </c>
      <c r="X15" s="124">
        <v>0</v>
      </c>
      <c r="Y15" s="124">
        <v>0</v>
      </c>
      <c r="Z15" s="124">
        <v>0</v>
      </c>
      <c r="AA15" s="124">
        <v>0</v>
      </c>
      <c r="AB15" s="124">
        <v>0</v>
      </c>
      <c r="AC15" s="124">
        <v>0</v>
      </c>
      <c r="AD15" s="124">
        <v>0</v>
      </c>
      <c r="AE15" s="124">
        <v>0</v>
      </c>
      <c r="AF15" s="124">
        <v>0</v>
      </c>
      <c r="AG15" s="124">
        <v>0</v>
      </c>
      <c r="AH15" s="124">
        <v>0</v>
      </c>
      <c r="AI15" s="124">
        <v>0</v>
      </c>
      <c r="AJ15" s="124">
        <v>0</v>
      </c>
      <c r="AK15" s="124">
        <v>0</v>
      </c>
      <c r="AL15" s="124">
        <v>0</v>
      </c>
      <c r="AM15" s="124">
        <v>0</v>
      </c>
      <c r="AN15" s="124">
        <v>0</v>
      </c>
      <c r="AO15" s="124">
        <v>0</v>
      </c>
      <c r="AP15" s="124">
        <v>0</v>
      </c>
      <c r="AQ15" s="124">
        <v>0</v>
      </c>
      <c r="AR15" s="124">
        <v>0</v>
      </c>
      <c r="AS15" s="124">
        <v>0</v>
      </c>
      <c r="AT15" s="124">
        <v>0</v>
      </c>
      <c r="AU15" s="124">
        <v>0</v>
      </c>
      <c r="AV15" s="124">
        <v>0</v>
      </c>
      <c r="AW15" s="124">
        <v>0</v>
      </c>
      <c r="AX15" s="124">
        <v>0</v>
      </c>
      <c r="AY15" s="124">
        <v>0</v>
      </c>
      <c r="AZ15" s="124">
        <v>0</v>
      </c>
      <c r="BA15" s="124">
        <v>0</v>
      </c>
      <c r="BB15" s="124">
        <v>0</v>
      </c>
      <c r="BC15" s="124">
        <v>0</v>
      </c>
      <c r="BD15" s="124">
        <v>0</v>
      </c>
      <c r="BE15" s="125">
        <v>1166.1331198592256</v>
      </c>
      <c r="BF15" s="125">
        <v>1195.8126254289675</v>
      </c>
      <c r="BG15" s="125">
        <v>1448.2662515195541</v>
      </c>
      <c r="BH15" s="125"/>
    </row>
    <row r="16" spans="1:60">
      <c r="A16" t="s">
        <v>228</v>
      </c>
      <c r="B16" t="s">
        <v>1152</v>
      </c>
      <c r="C16" s="24">
        <f>pv!C160</f>
        <v>12</v>
      </c>
      <c r="D16" s="24">
        <f>pv!D160</f>
        <v>50.400000000000006</v>
      </c>
      <c r="E16" s="24">
        <f>pv!E160</f>
        <v>180.23463925233648</v>
      </c>
      <c r="F16" s="24">
        <f>wind!C54</f>
        <v>221</v>
      </c>
      <c r="G16" s="24">
        <f>wind!D54</f>
        <v>552</v>
      </c>
      <c r="H16" s="24">
        <f>wind!E54</f>
        <v>1291</v>
      </c>
      <c r="I16" s="24">
        <f>wind!C66</f>
        <v>10</v>
      </c>
      <c r="J16" s="24">
        <f>wind!D66</f>
        <v>2.25</v>
      </c>
      <c r="K16" s="24">
        <f>wind!E66</f>
        <v>4</v>
      </c>
      <c r="L16" s="24">
        <f>hydro!J153</f>
        <v>75</v>
      </c>
      <c r="M16" s="24">
        <f>hydro!K153</f>
        <v>6.3810000000000002</v>
      </c>
      <c r="N16" s="24">
        <f>hydro!L153</f>
        <v>28.432355326671118</v>
      </c>
      <c r="O16" s="24">
        <f>O13</f>
        <v>1</v>
      </c>
      <c r="P16" s="24">
        <f>P13</f>
        <v>20.3125</v>
      </c>
      <c r="Q16" s="24">
        <f>Q13</f>
        <v>169.04062500000001</v>
      </c>
      <c r="R16" s="24">
        <v>0</v>
      </c>
      <c r="S16" s="24">
        <f>'wood and waste'!C111</f>
        <v>190.08674547549936</v>
      </c>
      <c r="T16" s="24">
        <f>'wood and waste'!D111</f>
        <v>252.56778199820346</v>
      </c>
      <c r="U16" s="24">
        <v>0</v>
      </c>
      <c r="V16" s="24">
        <f>'wood and waste'!C119</f>
        <v>1.532964144697982</v>
      </c>
      <c r="W16" s="24">
        <f>'wood and waste'!G119</f>
        <v>18.128833975198337</v>
      </c>
      <c r="X16" s="24">
        <v>0</v>
      </c>
      <c r="Y16" s="24">
        <f>'wood and waste'!C127</f>
        <v>1.3623849509558801</v>
      </c>
      <c r="Z16" s="24">
        <f>'wood and waste'!G127</f>
        <v>19.691912081116293</v>
      </c>
      <c r="AA16" s="124">
        <v>0</v>
      </c>
      <c r="AB16" s="24">
        <f>'wood and waste'!D146</f>
        <v>5.5098771610320325</v>
      </c>
      <c r="AC16" s="24">
        <f>'wood and waste'!E146</f>
        <v>46.323782057565609</v>
      </c>
      <c r="AD16" s="24">
        <f>'roof solar'!C85</f>
        <v>19250.077708438435</v>
      </c>
      <c r="AE16" s="24">
        <f>'roof solar'!D85</f>
        <v>38.500155416876872</v>
      </c>
      <c r="AF16" s="24">
        <f>'roof solar'!E85</f>
        <v>36.921649044784921</v>
      </c>
      <c r="AG16" s="24">
        <f>'roof solar'!F85+'roof solar'!I85+'roof solar'!L85</f>
        <v>3446.3042724271968</v>
      </c>
      <c r="AH16" s="24">
        <f>'roof solar'!G85+'roof solar'!J85+'roof solar'!M85</f>
        <v>20.194172185528323</v>
      </c>
      <c r="AI16" s="24">
        <f>'roof solar'!H85+'roof solar'!K85+'roof solar'!N85</f>
        <v>19.366211125921666</v>
      </c>
      <c r="AJ16" s="24">
        <f>'roof solar'!C78</f>
        <v>16441.627708438435</v>
      </c>
      <c r="AK16" s="24">
        <f>'roof solar'!D78</f>
        <v>32.883255416876871</v>
      </c>
      <c r="AL16" s="24">
        <f>'roof solar'!E78</f>
        <v>23.044585396147308</v>
      </c>
      <c r="AM16" s="24">
        <f>'roof solar'!F78</f>
        <v>442.53016467846822</v>
      </c>
      <c r="AN16" s="24">
        <f>'roof solar'!G78</f>
        <v>4.425301646784682</v>
      </c>
      <c r="AO16" s="24">
        <f>'roof solar'!H78</f>
        <v>3.1012513940667055</v>
      </c>
      <c r="AP16" s="24">
        <f>'space heating'!C69</f>
        <v>28946.904194810311</v>
      </c>
      <c r="AQ16" s="24">
        <f>'space heating'!D69</f>
        <v>289.4690419481031</v>
      </c>
      <c r="AR16" s="24">
        <f>'space heating'!E69</f>
        <v>316.96860093317292</v>
      </c>
      <c r="AS16" s="24">
        <f>'space heating'!F69+'space heating'!I69</f>
        <v>135.31627058480854</v>
      </c>
      <c r="AT16" s="24">
        <f>'space heating'!G69+'space heating'!J69</f>
        <v>56.274542969157558</v>
      </c>
      <c r="AU16" s="24">
        <f>'space heating'!H69+'space heating'!K69</f>
        <v>189.0667901690083</v>
      </c>
      <c r="AV16" s="24">
        <f>'space heating'!C76</f>
        <v>19972.109812856546</v>
      </c>
      <c r="AW16" s="24">
        <f>'space heating'!D76</f>
        <v>199.72109812856547</v>
      </c>
      <c r="AX16" s="24">
        <f>'space heating'!E76</f>
        <v>227.44238654881039</v>
      </c>
      <c r="AY16" s="24">
        <f>'space heating'!F76</f>
        <v>726.44352693718213</v>
      </c>
      <c r="AZ16" s="24">
        <f>'space heating'!G76</f>
        <v>39.954393981545017</v>
      </c>
      <c r="BA16" s="24">
        <f>'space heating'!H76</f>
        <v>122.500171947417</v>
      </c>
      <c r="BB16" s="24">
        <f>'micro wind'!L78</f>
        <v>3260.0160287442986</v>
      </c>
      <c r="BC16" s="24">
        <f>'micro wind'!M79</f>
        <v>193.57800503087975</v>
      </c>
      <c r="BD16" s="24">
        <f>'micro wind'!N79</f>
        <v>289.46577236234799</v>
      </c>
      <c r="BE16" s="125">
        <v>0</v>
      </c>
      <c r="BF16" s="125">
        <v>0</v>
      </c>
      <c r="BG16" s="125">
        <v>0</v>
      </c>
      <c r="BH16" s="125"/>
    </row>
    <row r="17" spans="51:60">
      <c r="BE17" s="125"/>
      <c r="BF17" s="125"/>
      <c r="BG17" s="125"/>
      <c r="BH17" s="125"/>
    </row>
    <row r="21" spans="51:60">
      <c r="AY21" s="24"/>
      <c r="AZ21" s="24"/>
      <c r="BA21" s="24"/>
    </row>
    <row r="78" spans="3:5">
      <c r="C78" s="24"/>
      <c r="D78" s="24"/>
      <c r="E78" s="24"/>
    </row>
    <row r="79" spans="3:5">
      <c r="C79" s="24"/>
      <c r="D79" s="24"/>
      <c r="E79" s="24"/>
    </row>
    <row r="80" spans="3:5">
      <c r="C80" s="24"/>
      <c r="D80" s="24"/>
      <c r="E80" s="24"/>
    </row>
    <row r="81" spans="3:5">
      <c r="C81" s="24"/>
      <c r="D81" s="24"/>
      <c r="E81" s="24"/>
    </row>
    <row r="82" spans="3:5">
      <c r="C82" s="24"/>
      <c r="D82" s="24"/>
      <c r="E82" s="24"/>
    </row>
    <row r="83" spans="3:5">
      <c r="C83" s="24"/>
      <c r="D83" s="24"/>
      <c r="E83" s="24"/>
    </row>
    <row r="84" spans="3:5">
      <c r="C84" s="24"/>
      <c r="D84" s="24"/>
      <c r="E84" s="24"/>
    </row>
    <row r="85" spans="3:5">
      <c r="C85" s="24"/>
      <c r="D85" s="24"/>
      <c r="E85" s="24"/>
    </row>
    <row r="86" spans="3:5">
      <c r="C86" s="24"/>
      <c r="D86" s="24"/>
      <c r="E86" s="24"/>
    </row>
    <row r="87" spans="3:5">
      <c r="C87" s="24"/>
      <c r="D87" s="24"/>
      <c r="E87" s="24"/>
    </row>
    <row r="88" spans="3:5">
      <c r="C88" s="24"/>
      <c r="D88" s="24"/>
      <c r="E88" s="24"/>
    </row>
    <row r="89" spans="3:5">
      <c r="C89" s="24"/>
      <c r="D89" s="24"/>
      <c r="E89" s="24"/>
    </row>
    <row r="90" spans="3:5">
      <c r="C90" s="24"/>
      <c r="D90" s="24"/>
      <c r="E90" s="24"/>
    </row>
    <row r="91" spans="3:5">
      <c r="C91" s="24"/>
      <c r="D91" s="24"/>
      <c r="E91" s="24"/>
    </row>
    <row r="92" spans="3:5">
      <c r="C92" s="24"/>
      <c r="D92" s="24"/>
      <c r="E92" s="24"/>
    </row>
    <row r="93" spans="3:5">
      <c r="C93" s="24"/>
      <c r="D93" s="24"/>
      <c r="E93" s="24"/>
    </row>
    <row r="94" spans="3:5">
      <c r="C94" s="24"/>
      <c r="D94" s="24"/>
      <c r="E94" s="24"/>
    </row>
    <row r="95" spans="3:5">
      <c r="C95" s="24"/>
      <c r="D95" s="24"/>
      <c r="E95" s="24"/>
    </row>
    <row r="96" spans="3:5">
      <c r="C96" s="24"/>
      <c r="D96" s="24"/>
      <c r="E96" s="24"/>
    </row>
    <row r="97" spans="3:5">
      <c r="C97" s="24"/>
      <c r="D97" s="24"/>
      <c r="E97" s="24"/>
    </row>
    <row r="98" spans="3:5">
      <c r="C98" s="24"/>
      <c r="D98" s="24"/>
      <c r="E98" s="24"/>
    </row>
    <row r="99" spans="3:5">
      <c r="C99" s="24"/>
      <c r="D99" s="24"/>
      <c r="E99" s="24"/>
    </row>
    <row r="100" spans="3:5">
      <c r="C100" s="24"/>
      <c r="D100" s="24"/>
      <c r="E100" s="24"/>
    </row>
    <row r="101" spans="3:5">
      <c r="C101" s="24"/>
      <c r="D101" s="24"/>
      <c r="E101" s="24"/>
    </row>
    <row r="102" spans="3:5">
      <c r="C102" s="24"/>
      <c r="D102" s="24"/>
      <c r="E102" s="24"/>
    </row>
    <row r="103" spans="3:5">
      <c r="C103" s="24"/>
      <c r="D103" s="24"/>
      <c r="E103" s="24"/>
    </row>
    <row r="104" spans="3:5">
      <c r="C104" s="24"/>
      <c r="D104" s="24"/>
      <c r="E104" s="24"/>
    </row>
    <row r="105" spans="3:5">
      <c r="C105" s="24"/>
      <c r="D105" s="24"/>
      <c r="E105" s="24"/>
    </row>
    <row r="106" spans="3:5">
      <c r="C106" s="24"/>
      <c r="D106" s="24"/>
      <c r="E106" s="24"/>
    </row>
    <row r="107" spans="3:5">
      <c r="C107" s="24"/>
      <c r="D107" s="24"/>
      <c r="E107" s="24"/>
    </row>
    <row r="108" spans="3:5">
      <c r="C108" s="24"/>
      <c r="D108" s="24"/>
      <c r="E108" s="24"/>
    </row>
    <row r="109" spans="3:5">
      <c r="C109" s="24"/>
      <c r="D109" s="24"/>
      <c r="E109" s="24"/>
    </row>
    <row r="110" spans="3:5">
      <c r="C110" s="24"/>
      <c r="D110" s="24"/>
      <c r="E110" s="24"/>
    </row>
    <row r="111" spans="3:5">
      <c r="C111" s="24"/>
      <c r="D111" s="24"/>
      <c r="E111" s="24"/>
    </row>
    <row r="112" spans="3:5">
      <c r="C112" s="24"/>
      <c r="D112" s="24"/>
      <c r="E112" s="24"/>
    </row>
    <row r="113" spans="3:5">
      <c r="C113" s="24"/>
      <c r="D113" s="24"/>
      <c r="E113" s="24"/>
    </row>
    <row r="114" spans="3:5">
      <c r="C114" s="24"/>
      <c r="D114" s="24"/>
      <c r="E114" s="24"/>
    </row>
    <row r="115" spans="3:5">
      <c r="C115" s="24"/>
      <c r="D115" s="24"/>
      <c r="E115" s="24"/>
    </row>
    <row r="116" spans="3:5">
      <c r="C116" s="24"/>
      <c r="D116" s="24"/>
      <c r="E116" s="24"/>
    </row>
    <row r="117" spans="3:5">
      <c r="C117" s="24"/>
      <c r="D117" s="24"/>
      <c r="E117" s="24"/>
    </row>
    <row r="118" spans="3:5">
      <c r="C118" s="24"/>
      <c r="D118" s="24"/>
      <c r="E118" s="24"/>
    </row>
    <row r="119" spans="3:5">
      <c r="C119" s="24"/>
      <c r="D119" s="24"/>
      <c r="E119" s="24"/>
    </row>
    <row r="120" spans="3:5">
      <c r="C120" s="24"/>
      <c r="D120" s="24"/>
      <c r="E120" s="24"/>
    </row>
    <row r="121" spans="3:5">
      <c r="C121" s="24"/>
      <c r="D121" s="24"/>
      <c r="E121" s="24"/>
    </row>
    <row r="122" spans="3:5">
      <c r="C122" s="24"/>
      <c r="D122" s="24"/>
      <c r="E122" s="24"/>
    </row>
    <row r="123" spans="3:5">
      <c r="C123" s="24"/>
      <c r="D123" s="24"/>
      <c r="E123" s="24"/>
    </row>
    <row r="124" spans="3:5">
      <c r="C124" s="24"/>
      <c r="D124" s="24"/>
      <c r="E124" s="24"/>
    </row>
    <row r="125" spans="3:5">
      <c r="C125" s="24"/>
      <c r="D125" s="24"/>
      <c r="E125" s="24"/>
    </row>
    <row r="126" spans="3:5">
      <c r="C126" s="24"/>
      <c r="D126" s="24"/>
      <c r="E126" s="24"/>
    </row>
    <row r="127" spans="3:5">
      <c r="C127" s="24"/>
      <c r="D127" s="24"/>
      <c r="E127" s="24"/>
    </row>
    <row r="128" spans="3:5">
      <c r="C128" s="24"/>
      <c r="D128" s="24"/>
      <c r="E128" s="24"/>
    </row>
    <row r="129" spans="3:5">
      <c r="C129" s="24"/>
      <c r="D129" s="24"/>
      <c r="E129" s="24"/>
    </row>
    <row r="130" spans="3:5">
      <c r="C130" s="24"/>
      <c r="D130" s="24"/>
      <c r="E130" s="24"/>
    </row>
    <row r="131" spans="3:5">
      <c r="C131" s="24"/>
      <c r="D131" s="24"/>
      <c r="E131" s="24"/>
    </row>
    <row r="132" spans="3:5">
      <c r="C132" s="24"/>
      <c r="D132" s="24"/>
      <c r="E132" s="24"/>
    </row>
    <row r="133" spans="3:5">
      <c r="C133" s="24"/>
      <c r="D133" s="24"/>
      <c r="E133" s="24"/>
    </row>
    <row r="134" spans="3:5">
      <c r="C134" s="24"/>
      <c r="D134" s="24"/>
      <c r="E134" s="24"/>
    </row>
    <row r="135" spans="3:5">
      <c r="C135" s="24"/>
      <c r="D135" s="24"/>
      <c r="E135" s="24"/>
    </row>
    <row r="136" spans="3:5">
      <c r="C136" s="24"/>
      <c r="D136" s="24"/>
      <c r="E136" s="24"/>
    </row>
    <row r="137" spans="3:5">
      <c r="C137" s="24"/>
      <c r="D137" s="24"/>
      <c r="E137" s="24"/>
    </row>
    <row r="138" spans="3:5">
      <c r="C138" s="24"/>
      <c r="D138" s="24"/>
      <c r="E138" s="24"/>
    </row>
    <row r="139" spans="3:5">
      <c r="C139" s="24"/>
      <c r="D139" s="24"/>
      <c r="E139" s="24"/>
    </row>
    <row r="140" spans="3:5">
      <c r="C140" s="24"/>
      <c r="D140" s="24"/>
      <c r="E140" s="24"/>
    </row>
    <row r="141" spans="3:5">
      <c r="C141" s="24"/>
      <c r="D141" s="24"/>
      <c r="E141" s="24"/>
    </row>
    <row r="142" spans="3:5">
      <c r="C142" s="24"/>
      <c r="D142" s="24"/>
      <c r="E142" s="24"/>
    </row>
    <row r="143" spans="3:5">
      <c r="C143" s="24"/>
      <c r="D143" s="24"/>
      <c r="E143" s="24"/>
    </row>
    <row r="144" spans="3:5">
      <c r="C144" s="24"/>
      <c r="D144" s="24"/>
      <c r="E144" s="24"/>
    </row>
    <row r="145" spans="3:5">
      <c r="C145" s="24"/>
      <c r="D145" s="24"/>
      <c r="E145" s="24"/>
    </row>
    <row r="146" spans="3:5">
      <c r="C146" s="24"/>
      <c r="D146" s="24"/>
      <c r="E146" s="24"/>
    </row>
    <row r="147" spans="3:5">
      <c r="C147" s="24"/>
      <c r="D147" s="24"/>
      <c r="E147" s="24"/>
    </row>
    <row r="148" spans="3:5">
      <c r="C148" s="24"/>
      <c r="D148" s="24"/>
      <c r="E148" s="24"/>
    </row>
    <row r="149" spans="3:5">
      <c r="C149" s="24"/>
      <c r="D149" s="24"/>
      <c r="E149" s="24"/>
    </row>
    <row r="150" spans="3:5">
      <c r="C150" s="24"/>
      <c r="D150" s="24"/>
      <c r="E150" s="24"/>
    </row>
    <row r="151" spans="3:5">
      <c r="C151" s="24"/>
      <c r="D151" s="24"/>
      <c r="E151" s="24"/>
    </row>
    <row r="152" spans="3:5">
      <c r="C152" s="24"/>
      <c r="D152" s="24"/>
      <c r="E152" s="2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rgb="FFFFFF00"/>
  </sheetPr>
  <dimension ref="A1:AB15"/>
  <sheetViews>
    <sheetView topLeftCell="C1" zoomScale="70" zoomScaleNormal="70" workbookViewId="0">
      <selection activeCell="AB2" sqref="AB2"/>
    </sheetView>
  </sheetViews>
  <sheetFormatPr defaultRowHeight="15"/>
  <cols>
    <col min="1" max="1" width="19.7109375" bestFit="1" customWidth="1"/>
    <col min="2" max="2" width="31.5703125" customWidth="1"/>
    <col min="3" max="3" width="37.7109375" customWidth="1"/>
    <col min="4" max="4" width="38.140625" customWidth="1"/>
    <col min="5" max="5" width="40.140625" customWidth="1"/>
    <col min="6" max="6" width="39.28515625" customWidth="1"/>
    <col min="7" max="7" width="41.5703125" bestFit="1" customWidth="1"/>
    <col min="8" max="8" width="35.7109375" bestFit="1" customWidth="1"/>
    <col min="9" max="9" width="39.28515625" bestFit="1" customWidth="1"/>
    <col min="10" max="10" width="44.28515625" bestFit="1" customWidth="1"/>
    <col min="11" max="11" width="41.140625" bestFit="1" customWidth="1"/>
    <col min="12" max="12" width="46" bestFit="1" customWidth="1"/>
    <col min="13" max="13" width="45.28515625" bestFit="1" customWidth="1"/>
    <col min="14" max="14" width="50.140625" bestFit="1" customWidth="1"/>
    <col min="15" max="15" width="49.28515625" bestFit="1" customWidth="1"/>
    <col min="16" max="16" width="53.140625" bestFit="1" customWidth="1"/>
    <col min="17" max="17" width="37.28515625" bestFit="1" customWidth="1"/>
    <col min="18" max="18" width="45.85546875" bestFit="1" customWidth="1"/>
    <col min="19" max="19" width="43.42578125" bestFit="1" customWidth="1"/>
    <col min="20" max="20" width="41" bestFit="1" customWidth="1"/>
    <col min="21" max="21" width="37.140625" bestFit="1" customWidth="1"/>
    <col min="22" max="22" width="37.28515625" bestFit="1" customWidth="1"/>
    <col min="23" max="23" width="53.42578125" bestFit="1" customWidth="1"/>
    <col min="24" max="24" width="48.140625" bestFit="1" customWidth="1"/>
    <col min="25" max="25" width="48.5703125" bestFit="1" customWidth="1"/>
    <col min="26" max="26" width="54" bestFit="1" customWidth="1"/>
    <col min="27" max="27" width="62.5703125" bestFit="1" customWidth="1"/>
    <col min="28" max="28" width="62.85546875" bestFit="1" customWidth="1"/>
  </cols>
  <sheetData>
    <row r="1" spans="1:28">
      <c r="B1" s="123" t="s">
        <v>1112</v>
      </c>
    </row>
    <row r="2" spans="1:28">
      <c r="A2" s="123" t="s">
        <v>1098</v>
      </c>
      <c r="B2" t="s">
        <v>1114</v>
      </c>
      <c r="C2" t="s">
        <v>1115</v>
      </c>
      <c r="D2" t="s">
        <v>1116</v>
      </c>
      <c r="E2" t="s">
        <v>1117</v>
      </c>
      <c r="F2" t="s">
        <v>1118</v>
      </c>
      <c r="G2" t="s">
        <v>1269</v>
      </c>
      <c r="H2" t="s">
        <v>1156</v>
      </c>
      <c r="I2" t="s">
        <v>1119</v>
      </c>
      <c r="J2" t="s">
        <v>1120</v>
      </c>
      <c r="K2" t="s">
        <v>1121</v>
      </c>
      <c r="L2" t="s">
        <v>1122</v>
      </c>
      <c r="M2" t="s">
        <v>1123</v>
      </c>
      <c r="N2" t="s">
        <v>1124</v>
      </c>
      <c r="O2" t="s">
        <v>1125</v>
      </c>
      <c r="P2" t="s">
        <v>1126</v>
      </c>
      <c r="Q2" t="s">
        <v>1127</v>
      </c>
      <c r="R2" t="s">
        <v>1154</v>
      </c>
      <c r="S2" t="s">
        <v>1113</v>
      </c>
      <c r="T2" t="s">
        <v>1207</v>
      </c>
      <c r="U2" t="s">
        <v>1208</v>
      </c>
      <c r="V2" t="s">
        <v>1209</v>
      </c>
      <c r="W2" t="s">
        <v>1210</v>
      </c>
      <c r="X2" t="s">
        <v>1211</v>
      </c>
      <c r="Y2" t="s">
        <v>1212</v>
      </c>
      <c r="Z2" t="s">
        <v>1213</v>
      </c>
      <c r="AA2" t="s">
        <v>1214</v>
      </c>
      <c r="AB2" t="s">
        <v>1215</v>
      </c>
    </row>
    <row r="3" spans="1:28">
      <c r="A3" s="16" t="s">
        <v>59</v>
      </c>
      <c r="B3" s="39">
        <v>6.5318310876632264</v>
      </c>
      <c r="C3" s="39">
        <v>0</v>
      </c>
      <c r="D3" s="39">
        <v>90.244514404768196</v>
      </c>
      <c r="E3" s="39">
        <v>10.8965</v>
      </c>
      <c r="F3" s="39">
        <v>9.5940549833333328</v>
      </c>
      <c r="G3" s="39">
        <v>25.40722717212417</v>
      </c>
      <c r="H3" s="39">
        <v>75.097766355140195</v>
      </c>
      <c r="I3" s="39">
        <v>19.693928100000001</v>
      </c>
      <c r="J3" s="39">
        <v>10.7408</v>
      </c>
      <c r="K3" s="39">
        <v>12.915043199999998</v>
      </c>
      <c r="L3" s="39">
        <v>1.8781440000000005</v>
      </c>
      <c r="M3" s="39">
        <v>167.52621188131283</v>
      </c>
      <c r="N3" s="39">
        <v>115.0088355</v>
      </c>
      <c r="O3" s="39">
        <v>132.06983100012525</v>
      </c>
      <c r="P3" s="39">
        <v>66.608850000000004</v>
      </c>
      <c r="Q3" s="39">
        <v>163.77726871556209</v>
      </c>
      <c r="R3" s="39">
        <v>2.4000000000000004</v>
      </c>
      <c r="S3" s="39">
        <v>325</v>
      </c>
      <c r="T3" s="39">
        <v>530.73375310592166</v>
      </c>
      <c r="U3" s="39">
        <v>356.70438762203639</v>
      </c>
      <c r="V3" s="39">
        <v>679.5889787666473</v>
      </c>
      <c r="W3" s="39">
        <v>83.150832111255568</v>
      </c>
      <c r="X3" s="39">
        <v>112.3907986851716</v>
      </c>
      <c r="Y3" s="39">
        <v>94.13265697755071</v>
      </c>
      <c r="Z3" s="39">
        <v>132.68343827648039</v>
      </c>
      <c r="AA3" s="39">
        <v>300.99760667197279</v>
      </c>
      <c r="AB3" s="39">
        <v>30.684705700325821</v>
      </c>
    </row>
    <row r="4" spans="1:28">
      <c r="A4" s="132" t="s">
        <v>1157</v>
      </c>
      <c r="B4" s="39">
        <v>0</v>
      </c>
      <c r="C4" s="39">
        <v>0</v>
      </c>
      <c r="D4" s="39">
        <v>0</v>
      </c>
      <c r="E4" s="39">
        <v>0</v>
      </c>
      <c r="F4" s="39">
        <v>0</v>
      </c>
      <c r="G4" s="39">
        <v>0</v>
      </c>
      <c r="H4" s="39">
        <v>0</v>
      </c>
      <c r="I4" s="39">
        <v>0</v>
      </c>
      <c r="J4" s="39">
        <v>0</v>
      </c>
      <c r="K4" s="39">
        <v>0</v>
      </c>
      <c r="L4" s="39">
        <v>0</v>
      </c>
      <c r="M4" s="39">
        <v>0</v>
      </c>
      <c r="N4" s="39">
        <v>0</v>
      </c>
      <c r="O4" s="39">
        <v>0</v>
      </c>
      <c r="P4" s="39">
        <v>0</v>
      </c>
      <c r="Q4" s="39">
        <v>0</v>
      </c>
      <c r="R4" s="39">
        <v>0</v>
      </c>
      <c r="S4" s="39">
        <v>0</v>
      </c>
      <c r="T4" s="39">
        <v>530.73375310592166</v>
      </c>
      <c r="U4" s="39">
        <v>356.70438762203639</v>
      </c>
      <c r="V4" s="39">
        <v>679.5889787666473</v>
      </c>
      <c r="W4" s="39">
        <v>83.150832111255568</v>
      </c>
      <c r="X4" s="39">
        <v>112.3907986851716</v>
      </c>
      <c r="Y4" s="39">
        <v>94.13265697755071</v>
      </c>
      <c r="Z4" s="39">
        <v>132.68343827648039</v>
      </c>
      <c r="AA4" s="39">
        <v>300.99760667197279</v>
      </c>
      <c r="AB4" s="39">
        <v>30.684705700325821</v>
      </c>
    </row>
    <row r="5" spans="1:28">
      <c r="A5" s="132" t="s">
        <v>1152</v>
      </c>
      <c r="B5" s="39">
        <v>6.5318310876632264</v>
      </c>
      <c r="C5" s="39">
        <v>0</v>
      </c>
      <c r="D5" s="39">
        <v>90.244514404768196</v>
      </c>
      <c r="E5" s="39">
        <v>10.8965</v>
      </c>
      <c r="F5" s="39">
        <v>9.5940549833333328</v>
      </c>
      <c r="G5" s="39">
        <v>25.40722717212417</v>
      </c>
      <c r="H5" s="39">
        <v>75.097766355140195</v>
      </c>
      <c r="I5" s="39">
        <v>19.693928100000001</v>
      </c>
      <c r="J5" s="39">
        <v>10.7408</v>
      </c>
      <c r="K5" s="39">
        <v>12.915043199999998</v>
      </c>
      <c r="L5" s="39">
        <v>1.8781440000000005</v>
      </c>
      <c r="M5" s="39">
        <v>167.52621188131283</v>
      </c>
      <c r="N5" s="39">
        <v>115.0088355</v>
      </c>
      <c r="O5" s="39">
        <v>132.06983100012525</v>
      </c>
      <c r="P5" s="39">
        <v>66.608850000000004</v>
      </c>
      <c r="Q5" s="39">
        <v>163.77726871556209</v>
      </c>
      <c r="R5" s="39">
        <v>2.4000000000000004</v>
      </c>
      <c r="S5" s="39">
        <v>325</v>
      </c>
      <c r="T5" s="39">
        <v>0</v>
      </c>
      <c r="U5" s="39">
        <v>0</v>
      </c>
      <c r="V5" s="39">
        <v>0</v>
      </c>
      <c r="W5" s="39">
        <v>0</v>
      </c>
      <c r="X5" s="39">
        <v>0</v>
      </c>
      <c r="Y5" s="39">
        <v>0</v>
      </c>
      <c r="Z5" s="39">
        <v>0</v>
      </c>
      <c r="AA5" s="39">
        <v>0</v>
      </c>
      <c r="AB5" s="39">
        <v>0</v>
      </c>
    </row>
    <row r="6" spans="1:28">
      <c r="A6" s="16" t="s">
        <v>61</v>
      </c>
      <c r="B6" s="39">
        <v>21.853072153325819</v>
      </c>
      <c r="C6" s="39">
        <v>0</v>
      </c>
      <c r="D6" s="39">
        <v>120.41189130982447</v>
      </c>
      <c r="E6" s="39">
        <v>5.9089999999999998</v>
      </c>
      <c r="F6" s="39">
        <v>9.6118395022222227</v>
      </c>
      <c r="G6" s="39">
        <v>16.102945349299134</v>
      </c>
      <c r="H6" s="39">
        <v>105.13687289719627</v>
      </c>
      <c r="I6" s="39">
        <v>13.6393775</v>
      </c>
      <c r="J6" s="39">
        <v>6.6842299999999994</v>
      </c>
      <c r="K6" s="39">
        <v>7.9628399999999999</v>
      </c>
      <c r="L6" s="39">
        <v>0.89702400000000015</v>
      </c>
      <c r="M6" s="39">
        <v>119.1859207969119</v>
      </c>
      <c r="N6" s="39">
        <v>55.561833</v>
      </c>
      <c r="O6" s="39">
        <v>74.264772974068322</v>
      </c>
      <c r="P6" s="39">
        <v>44.012430000000002</v>
      </c>
      <c r="Q6" s="39">
        <v>104.92195647900826</v>
      </c>
      <c r="R6" s="39">
        <v>1.2000000000000002</v>
      </c>
      <c r="S6" s="39">
        <v>966</v>
      </c>
      <c r="T6" s="39">
        <v>337.20441753472107</v>
      </c>
      <c r="U6" s="39">
        <v>243.33457703377769</v>
      </c>
      <c r="V6" s="39">
        <v>572.21824324028614</v>
      </c>
      <c r="W6" s="39">
        <v>59.790037795771525</v>
      </c>
      <c r="X6" s="39">
        <v>76.595868882034438</v>
      </c>
      <c r="Y6" s="39">
        <v>79.291267221478279</v>
      </c>
      <c r="Z6" s="39">
        <v>84.30110438368024</v>
      </c>
      <c r="AA6" s="39">
        <v>184.16257010764423</v>
      </c>
      <c r="AB6" s="39">
        <v>26.070409430868494</v>
      </c>
    </row>
    <row r="7" spans="1:28">
      <c r="A7" s="132" t="s">
        <v>1157</v>
      </c>
      <c r="B7" s="39">
        <v>0</v>
      </c>
      <c r="C7" s="39">
        <v>0</v>
      </c>
      <c r="D7" s="39">
        <v>0</v>
      </c>
      <c r="E7" s="39">
        <v>0</v>
      </c>
      <c r="F7" s="39">
        <v>0</v>
      </c>
      <c r="G7" s="39">
        <v>0</v>
      </c>
      <c r="H7" s="39">
        <v>0</v>
      </c>
      <c r="I7" s="39">
        <v>0</v>
      </c>
      <c r="J7" s="39">
        <v>0</v>
      </c>
      <c r="K7" s="39">
        <v>0</v>
      </c>
      <c r="L7" s="39">
        <v>0</v>
      </c>
      <c r="M7" s="39">
        <v>0</v>
      </c>
      <c r="N7" s="39">
        <v>0</v>
      </c>
      <c r="O7" s="39">
        <v>0</v>
      </c>
      <c r="P7" s="39">
        <v>0</v>
      </c>
      <c r="Q7" s="39">
        <v>0</v>
      </c>
      <c r="R7" s="39">
        <v>0</v>
      </c>
      <c r="S7" s="39">
        <v>0</v>
      </c>
      <c r="T7" s="39">
        <v>337.20441753472107</v>
      </c>
      <c r="U7" s="39">
        <v>243.33457703377769</v>
      </c>
      <c r="V7" s="39">
        <v>572.21824324028614</v>
      </c>
      <c r="W7" s="39">
        <v>59.790037795771525</v>
      </c>
      <c r="X7" s="39">
        <v>76.595868882034438</v>
      </c>
      <c r="Y7" s="39">
        <v>79.291267221478279</v>
      </c>
      <c r="Z7" s="39">
        <v>84.30110438368024</v>
      </c>
      <c r="AA7" s="39">
        <v>184.16257010764423</v>
      </c>
      <c r="AB7" s="39">
        <v>26.070409430868494</v>
      </c>
    </row>
    <row r="8" spans="1:28">
      <c r="A8" s="132" t="s">
        <v>1152</v>
      </c>
      <c r="B8" s="39">
        <v>21.853072153325819</v>
      </c>
      <c r="C8" s="39">
        <v>0</v>
      </c>
      <c r="D8" s="39">
        <v>120.41189130982447</v>
      </c>
      <c r="E8" s="39">
        <v>5.9089999999999998</v>
      </c>
      <c r="F8" s="39">
        <v>9.6118395022222227</v>
      </c>
      <c r="G8" s="39">
        <v>16.102945349299134</v>
      </c>
      <c r="H8" s="39">
        <v>105.13687289719627</v>
      </c>
      <c r="I8" s="39">
        <v>13.6393775</v>
      </c>
      <c r="J8" s="39">
        <v>6.6842299999999994</v>
      </c>
      <c r="K8" s="39">
        <v>7.9628399999999999</v>
      </c>
      <c r="L8" s="39">
        <v>0.89702400000000015</v>
      </c>
      <c r="M8" s="39">
        <v>119.1859207969119</v>
      </c>
      <c r="N8" s="39">
        <v>55.561833</v>
      </c>
      <c r="O8" s="39">
        <v>74.264772974068322</v>
      </c>
      <c r="P8" s="39">
        <v>44.012430000000002</v>
      </c>
      <c r="Q8" s="39">
        <v>104.92195647900826</v>
      </c>
      <c r="R8" s="39">
        <v>1.2000000000000002</v>
      </c>
      <c r="S8" s="39">
        <v>966</v>
      </c>
      <c r="T8" s="39">
        <v>0</v>
      </c>
      <c r="U8" s="39">
        <v>0</v>
      </c>
      <c r="V8" s="39">
        <v>0</v>
      </c>
      <c r="W8" s="39">
        <v>0</v>
      </c>
      <c r="X8" s="39">
        <v>0</v>
      </c>
      <c r="Y8" s="39">
        <v>0</v>
      </c>
      <c r="Z8" s="39">
        <v>0</v>
      </c>
      <c r="AA8" s="39">
        <v>0</v>
      </c>
      <c r="AB8" s="39">
        <v>0</v>
      </c>
    </row>
    <row r="9" spans="1:28">
      <c r="A9" s="16" t="s">
        <v>227</v>
      </c>
      <c r="B9" s="39">
        <v>16.979416009019168</v>
      </c>
      <c r="C9" s="39">
        <v>169.04062500000001</v>
      </c>
      <c r="D9" s="39">
        <v>99.027184575314791</v>
      </c>
      <c r="E9" s="39">
        <v>3.1682896413222452</v>
      </c>
      <c r="F9" s="39">
        <v>1.1636176791060595</v>
      </c>
      <c r="G9" s="39">
        <v>11.633353281982759</v>
      </c>
      <c r="H9" s="39">
        <v>0</v>
      </c>
      <c r="I9" s="39">
        <v>7.3957032636543207</v>
      </c>
      <c r="J9" s="39">
        <v>4.1662905208869665</v>
      </c>
      <c r="K9" s="39">
        <v>4.9489730627413442</v>
      </c>
      <c r="L9" s="39">
        <v>0.55102053315732513</v>
      </c>
      <c r="M9" s="39">
        <v>78.305029341619303</v>
      </c>
      <c r="N9" s="39">
        <v>27.694444847269288</v>
      </c>
      <c r="O9" s="39">
        <v>31.466726985146121</v>
      </c>
      <c r="P9" s="39">
        <v>27.976878826570289</v>
      </c>
      <c r="Q9" s="39">
        <v>88.685451956017445</v>
      </c>
      <c r="R9" s="39">
        <v>1.2000000000000002</v>
      </c>
      <c r="S9" s="39">
        <v>0</v>
      </c>
      <c r="T9" s="39">
        <v>146.19738798505799</v>
      </c>
      <c r="U9" s="39">
        <v>164.99295768930881</v>
      </c>
      <c r="V9" s="39">
        <v>355.42368732906465</v>
      </c>
      <c r="W9" s="39">
        <v>23.374015908007323</v>
      </c>
      <c r="X9" s="39">
        <v>47.946438647728883</v>
      </c>
      <c r="Y9" s="39">
        <v>49.3213009269964</v>
      </c>
      <c r="Z9" s="39">
        <v>36.549346996264489</v>
      </c>
      <c r="AA9" s="39">
        <v>106.68437632128018</v>
      </c>
      <c r="AB9" s="39">
        <v>16.727946938271771</v>
      </c>
    </row>
    <row r="10" spans="1:28">
      <c r="A10" s="132" t="s">
        <v>1157</v>
      </c>
      <c r="B10" s="39">
        <v>0</v>
      </c>
      <c r="C10" s="39">
        <v>0</v>
      </c>
      <c r="D10" s="39">
        <v>0</v>
      </c>
      <c r="E10" s="39">
        <v>0</v>
      </c>
      <c r="F10" s="39">
        <v>0</v>
      </c>
      <c r="G10" s="39">
        <v>0</v>
      </c>
      <c r="H10" s="39">
        <v>0</v>
      </c>
      <c r="I10" s="39">
        <v>0</v>
      </c>
      <c r="J10" s="39">
        <v>0</v>
      </c>
      <c r="K10" s="39">
        <v>0</v>
      </c>
      <c r="L10" s="39">
        <v>0</v>
      </c>
      <c r="M10" s="39">
        <v>0</v>
      </c>
      <c r="N10" s="39">
        <v>0</v>
      </c>
      <c r="O10" s="39">
        <v>0</v>
      </c>
      <c r="P10" s="39">
        <v>0</v>
      </c>
      <c r="Q10" s="39">
        <v>0</v>
      </c>
      <c r="R10" s="39">
        <v>0</v>
      </c>
      <c r="S10" s="39">
        <v>0</v>
      </c>
      <c r="T10" s="39">
        <v>146.19738798505799</v>
      </c>
      <c r="U10" s="39">
        <v>164.99295768930881</v>
      </c>
      <c r="V10" s="39">
        <v>355.42368732906465</v>
      </c>
      <c r="W10" s="39">
        <v>23.374015908007323</v>
      </c>
      <c r="X10" s="39">
        <v>47.946438647728883</v>
      </c>
      <c r="Y10" s="39">
        <v>49.3213009269964</v>
      </c>
      <c r="Z10" s="39">
        <v>36.549346996264489</v>
      </c>
      <c r="AA10" s="39">
        <v>106.68437632128018</v>
      </c>
      <c r="AB10" s="39">
        <v>16.727946938271771</v>
      </c>
    </row>
    <row r="11" spans="1:28">
      <c r="A11" s="132" t="s">
        <v>1152</v>
      </c>
      <c r="B11" s="39">
        <v>16.979416009019168</v>
      </c>
      <c r="C11" s="39">
        <v>169.04062500000001</v>
      </c>
      <c r="D11" s="39">
        <v>99.027184575314791</v>
      </c>
      <c r="E11" s="39">
        <v>3.1682896413222452</v>
      </c>
      <c r="F11" s="39">
        <v>1.1636176791060595</v>
      </c>
      <c r="G11" s="39">
        <v>11.633353281982759</v>
      </c>
      <c r="H11" s="39">
        <v>0</v>
      </c>
      <c r="I11" s="39">
        <v>7.3957032636543207</v>
      </c>
      <c r="J11" s="39">
        <v>4.1662905208869665</v>
      </c>
      <c r="K11" s="39">
        <v>4.9489730627413442</v>
      </c>
      <c r="L11" s="39">
        <v>0.55102053315732513</v>
      </c>
      <c r="M11" s="39">
        <v>78.305029341619303</v>
      </c>
      <c r="N11" s="39">
        <v>27.694444847269288</v>
      </c>
      <c r="O11" s="39">
        <v>31.466726985146121</v>
      </c>
      <c r="P11" s="39">
        <v>27.976878826570289</v>
      </c>
      <c r="Q11" s="39">
        <v>88.685451956017445</v>
      </c>
      <c r="R11" s="39">
        <v>1.2000000000000002</v>
      </c>
      <c r="S11" s="39">
        <v>0</v>
      </c>
      <c r="T11" s="39">
        <v>0</v>
      </c>
      <c r="U11" s="39">
        <v>0</v>
      </c>
      <c r="V11" s="39">
        <v>0</v>
      </c>
      <c r="W11" s="39">
        <v>0</v>
      </c>
      <c r="X11" s="39">
        <v>0</v>
      </c>
      <c r="Y11" s="39">
        <v>0</v>
      </c>
      <c r="Z11" s="39">
        <v>0</v>
      </c>
      <c r="AA11" s="39">
        <v>0</v>
      </c>
      <c r="AB11" s="39">
        <v>0</v>
      </c>
    </row>
    <row r="12" spans="1:28">
      <c r="A12" s="16" t="s">
        <v>228</v>
      </c>
      <c r="B12" s="39">
        <v>28.432355326671118</v>
      </c>
      <c r="C12" s="39">
        <v>169.04062500000001</v>
      </c>
      <c r="D12" s="39">
        <v>252.56778199820346</v>
      </c>
      <c r="E12" s="39">
        <v>18.128833975198337</v>
      </c>
      <c r="F12" s="39">
        <v>19.691912081116293</v>
      </c>
      <c r="G12" s="39">
        <v>46.323782057565609</v>
      </c>
      <c r="H12" s="39">
        <v>180.23463925233648</v>
      </c>
      <c r="I12" s="39">
        <v>36.921649044784921</v>
      </c>
      <c r="J12" s="39">
        <v>19.366211125921666</v>
      </c>
      <c r="K12" s="39">
        <v>23.044585396147308</v>
      </c>
      <c r="L12" s="39">
        <v>3.1012513940667055</v>
      </c>
      <c r="M12" s="39">
        <v>316.96860093317292</v>
      </c>
      <c r="N12" s="39">
        <v>189.0667901690083</v>
      </c>
      <c r="O12" s="39">
        <v>227.44238654881039</v>
      </c>
      <c r="P12" s="39">
        <v>122.500171947417</v>
      </c>
      <c r="Q12" s="39">
        <v>289.46577236234799</v>
      </c>
      <c r="R12" s="39">
        <v>4</v>
      </c>
      <c r="S12" s="39">
        <v>1291</v>
      </c>
      <c r="T12" s="39">
        <v>932.90649588738052</v>
      </c>
      <c r="U12" s="39">
        <v>662.64400934932837</v>
      </c>
      <c r="V12" s="39">
        <v>1384.8668873816923</v>
      </c>
      <c r="W12" s="39">
        <v>153.80583244450372</v>
      </c>
      <c r="X12" s="39">
        <v>208.39794065744991</v>
      </c>
      <c r="Y12" s="39">
        <v>191.93890080379629</v>
      </c>
      <c r="Z12" s="39">
        <v>233.22662397184513</v>
      </c>
      <c r="AA12" s="39">
        <v>533.16861607963915</v>
      </c>
      <c r="AB12" s="39">
        <v>63.399364137861767</v>
      </c>
    </row>
    <row r="13" spans="1:28">
      <c r="A13" s="132" t="s">
        <v>1157</v>
      </c>
      <c r="B13" s="39">
        <v>0</v>
      </c>
      <c r="C13" s="39">
        <v>0</v>
      </c>
      <c r="D13" s="39">
        <v>0</v>
      </c>
      <c r="E13" s="39">
        <v>0</v>
      </c>
      <c r="F13" s="39">
        <v>0</v>
      </c>
      <c r="G13" s="39">
        <v>0</v>
      </c>
      <c r="H13" s="39">
        <v>0</v>
      </c>
      <c r="I13" s="39">
        <v>0</v>
      </c>
      <c r="J13" s="39">
        <v>0</v>
      </c>
      <c r="K13" s="39">
        <v>0</v>
      </c>
      <c r="L13" s="39">
        <v>0</v>
      </c>
      <c r="M13" s="39">
        <v>0</v>
      </c>
      <c r="N13" s="39">
        <v>0</v>
      </c>
      <c r="O13" s="39">
        <v>0</v>
      </c>
      <c r="P13" s="39">
        <v>0</v>
      </c>
      <c r="Q13" s="39">
        <v>0</v>
      </c>
      <c r="R13" s="39">
        <v>0</v>
      </c>
      <c r="S13" s="39">
        <v>0</v>
      </c>
      <c r="T13" s="39">
        <v>932.90649588738052</v>
      </c>
      <c r="U13" s="39">
        <v>662.64400934932837</v>
      </c>
      <c r="V13" s="39">
        <v>1384.8668873816923</v>
      </c>
      <c r="W13" s="39">
        <v>153.80583244450372</v>
      </c>
      <c r="X13" s="39">
        <v>208.39794065744991</v>
      </c>
      <c r="Y13" s="39">
        <v>191.93890080379629</v>
      </c>
      <c r="Z13" s="39">
        <v>233.22662397184513</v>
      </c>
      <c r="AA13" s="39">
        <v>533.16861607963915</v>
      </c>
      <c r="AB13" s="39">
        <v>63.399364137861767</v>
      </c>
    </row>
    <row r="14" spans="1:28">
      <c r="A14" s="132" t="s">
        <v>1152</v>
      </c>
      <c r="B14" s="39">
        <v>28.432355326671118</v>
      </c>
      <c r="C14" s="39">
        <v>169.04062500000001</v>
      </c>
      <c r="D14" s="39">
        <v>252.56778199820346</v>
      </c>
      <c r="E14" s="39">
        <v>18.128833975198337</v>
      </c>
      <c r="F14" s="39">
        <v>19.691912081116293</v>
      </c>
      <c r="G14" s="39">
        <v>46.323782057565609</v>
      </c>
      <c r="H14" s="39">
        <v>180.23463925233648</v>
      </c>
      <c r="I14" s="39">
        <v>36.921649044784921</v>
      </c>
      <c r="J14" s="39">
        <v>19.366211125921666</v>
      </c>
      <c r="K14" s="39">
        <v>23.044585396147308</v>
      </c>
      <c r="L14" s="39">
        <v>3.1012513940667055</v>
      </c>
      <c r="M14" s="39">
        <v>316.96860093317292</v>
      </c>
      <c r="N14" s="39">
        <v>189.0667901690083</v>
      </c>
      <c r="O14" s="39">
        <v>227.44238654881039</v>
      </c>
      <c r="P14" s="39">
        <v>122.500171947417</v>
      </c>
      <c r="Q14" s="39">
        <v>289.46577236234799</v>
      </c>
      <c r="R14" s="39">
        <v>4</v>
      </c>
      <c r="S14" s="39">
        <v>1291</v>
      </c>
      <c r="T14" s="39">
        <v>0</v>
      </c>
      <c r="U14" s="39">
        <v>0</v>
      </c>
      <c r="V14" s="39">
        <v>0</v>
      </c>
      <c r="W14" s="39">
        <v>0</v>
      </c>
      <c r="X14" s="39">
        <v>0</v>
      </c>
      <c r="Y14" s="39">
        <v>0</v>
      </c>
      <c r="Z14" s="39">
        <v>0</v>
      </c>
      <c r="AA14" s="39">
        <v>0</v>
      </c>
      <c r="AB14" s="39">
        <v>0</v>
      </c>
    </row>
    <row r="15" spans="1:28">
      <c r="A15" s="16" t="s">
        <v>1099</v>
      </c>
      <c r="B15" s="39">
        <v>73.796674576679337</v>
      </c>
      <c r="C15" s="39">
        <v>338.08125000000001</v>
      </c>
      <c r="D15" s="39">
        <v>562.25137228811093</v>
      </c>
      <c r="E15" s="39">
        <v>38.102623616520582</v>
      </c>
      <c r="F15" s="39">
        <v>40.061424245777907</v>
      </c>
      <c r="G15" s="39">
        <v>99.467307860971658</v>
      </c>
      <c r="H15" s="39">
        <v>360.46927850467296</v>
      </c>
      <c r="I15" s="39">
        <v>77.650657908439243</v>
      </c>
      <c r="J15" s="39">
        <v>40.957531646808633</v>
      </c>
      <c r="K15" s="39">
        <v>48.871441658888656</v>
      </c>
      <c r="L15" s="39">
        <v>6.4274399272240315</v>
      </c>
      <c r="M15" s="39">
        <v>681.985762953017</v>
      </c>
      <c r="N15" s="39">
        <v>387.33190351627763</v>
      </c>
      <c r="O15" s="39">
        <v>465.2437175081501</v>
      </c>
      <c r="P15" s="39">
        <v>261.0983307739873</v>
      </c>
      <c r="Q15" s="39">
        <v>646.85044951293571</v>
      </c>
      <c r="R15" s="39">
        <v>8.8000000000000007</v>
      </c>
      <c r="S15" s="39">
        <v>2582</v>
      </c>
      <c r="T15" s="39">
        <v>1947.0420545130812</v>
      </c>
      <c r="U15" s="39">
        <v>1427.6759316944513</v>
      </c>
      <c r="V15" s="39">
        <v>2992.0977967176905</v>
      </c>
      <c r="W15" s="39">
        <v>320.12071825953814</v>
      </c>
      <c r="X15" s="39">
        <v>445.33104687238483</v>
      </c>
      <c r="Y15" s="39">
        <v>414.68412592982168</v>
      </c>
      <c r="Z15" s="39">
        <v>486.76051362827025</v>
      </c>
      <c r="AA15" s="39">
        <v>1125.0131691805364</v>
      </c>
      <c r="AB15" s="39">
        <v>136.88242620732785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rgb="FFFFFF00"/>
  </sheetPr>
  <dimension ref="A1:BM148"/>
  <sheetViews>
    <sheetView topLeftCell="K1" zoomScale="85" zoomScaleNormal="85" workbookViewId="0">
      <selection activeCell="AA3" sqref="AA3:AC3"/>
    </sheetView>
  </sheetViews>
  <sheetFormatPr defaultRowHeight="15"/>
  <cols>
    <col min="1" max="1" width="23.28515625" customWidth="1"/>
    <col min="2" max="2" width="19.7109375" customWidth="1"/>
    <col min="3" max="5" width="9.140625" style="133"/>
  </cols>
  <sheetData>
    <row r="1" spans="1:65">
      <c r="A1" s="1" t="s">
        <v>1102</v>
      </c>
    </row>
    <row r="2" spans="1:65" ht="30">
      <c r="A2" s="1"/>
      <c r="C2" s="110" t="s">
        <v>230</v>
      </c>
      <c r="D2" s="110" t="s">
        <v>258</v>
      </c>
      <c r="E2" s="110" t="s">
        <v>236</v>
      </c>
      <c r="F2" s="110" t="s">
        <v>230</v>
      </c>
      <c r="G2" s="110" t="s">
        <v>258</v>
      </c>
      <c r="H2" s="110" t="s">
        <v>236</v>
      </c>
      <c r="I2" s="110" t="s">
        <v>230</v>
      </c>
      <c r="J2" s="110" t="s">
        <v>258</v>
      </c>
      <c r="K2" s="110" t="s">
        <v>236</v>
      </c>
      <c r="L2" s="110" t="s">
        <v>230</v>
      </c>
      <c r="M2" s="110" t="s">
        <v>258</v>
      </c>
      <c r="N2" s="110" t="s">
        <v>236</v>
      </c>
      <c r="O2" s="110" t="s">
        <v>230</v>
      </c>
      <c r="P2" s="110" t="s">
        <v>258</v>
      </c>
      <c r="Q2" s="110" t="s">
        <v>236</v>
      </c>
      <c r="R2" s="110" t="s">
        <v>230</v>
      </c>
      <c r="S2" s="110" t="s">
        <v>258</v>
      </c>
      <c r="T2" s="110" t="s">
        <v>236</v>
      </c>
      <c r="U2" s="110" t="s">
        <v>230</v>
      </c>
      <c r="V2" s="110" t="s">
        <v>258</v>
      </c>
      <c r="W2" s="110" t="s">
        <v>236</v>
      </c>
      <c r="X2" s="110" t="s">
        <v>230</v>
      </c>
      <c r="Y2" s="110" t="s">
        <v>258</v>
      </c>
      <c r="Z2" s="110" t="s">
        <v>236</v>
      </c>
      <c r="AA2" s="110" t="s">
        <v>230</v>
      </c>
      <c r="AB2" s="110" t="s">
        <v>258</v>
      </c>
      <c r="AC2" s="110" t="s">
        <v>236</v>
      </c>
      <c r="AD2" s="110" t="s">
        <v>230</v>
      </c>
      <c r="AE2" s="110" t="s">
        <v>258</v>
      </c>
      <c r="AF2" s="110" t="s">
        <v>236</v>
      </c>
      <c r="AG2" s="110" t="s">
        <v>230</v>
      </c>
      <c r="AH2" s="110" t="s">
        <v>258</v>
      </c>
      <c r="AI2" s="110" t="s">
        <v>236</v>
      </c>
      <c r="AJ2" s="110" t="s">
        <v>230</v>
      </c>
      <c r="AK2" s="110" t="s">
        <v>258</v>
      </c>
      <c r="AL2" s="110" t="s">
        <v>236</v>
      </c>
      <c r="AM2" s="110" t="s">
        <v>230</v>
      </c>
      <c r="AN2" s="110" t="s">
        <v>258</v>
      </c>
      <c r="AO2" s="110" t="s">
        <v>236</v>
      </c>
      <c r="AP2" s="110" t="s">
        <v>230</v>
      </c>
      <c r="AQ2" s="110" t="s">
        <v>258</v>
      </c>
      <c r="AR2" s="110" t="s">
        <v>236</v>
      </c>
      <c r="AS2" s="110" t="s">
        <v>230</v>
      </c>
      <c r="AT2" s="110" t="s">
        <v>258</v>
      </c>
      <c r="AU2" s="110" t="s">
        <v>236</v>
      </c>
      <c r="AV2" s="110" t="s">
        <v>230</v>
      </c>
      <c r="AW2" s="110" t="s">
        <v>258</v>
      </c>
      <c r="AX2" s="110" t="s">
        <v>236</v>
      </c>
      <c r="AY2" s="110" t="s">
        <v>230</v>
      </c>
      <c r="AZ2" s="110" t="s">
        <v>258</v>
      </c>
      <c r="BA2" s="110" t="s">
        <v>236</v>
      </c>
      <c r="BB2" s="110" t="s">
        <v>230</v>
      </c>
      <c r="BC2" s="110" t="s">
        <v>258</v>
      </c>
      <c r="BD2" s="110" t="s">
        <v>236</v>
      </c>
    </row>
    <row r="3" spans="1:65">
      <c r="A3" s="1"/>
      <c r="C3" t="s">
        <v>1095</v>
      </c>
      <c r="D3" t="s">
        <v>1095</v>
      </c>
      <c r="E3" t="s">
        <v>1095</v>
      </c>
      <c r="F3" t="s">
        <v>1096</v>
      </c>
      <c r="G3" t="s">
        <v>1096</v>
      </c>
      <c r="H3" t="s">
        <v>1096</v>
      </c>
      <c r="I3" t="s">
        <v>1153</v>
      </c>
      <c r="J3" t="s">
        <v>1153</v>
      </c>
      <c r="K3" t="s">
        <v>1153</v>
      </c>
      <c r="L3" t="s">
        <v>66</v>
      </c>
      <c r="M3" t="s">
        <v>66</v>
      </c>
      <c r="N3" t="s">
        <v>66</v>
      </c>
      <c r="O3" t="s">
        <v>1101</v>
      </c>
      <c r="P3" t="s">
        <v>1101</v>
      </c>
      <c r="Q3" t="s">
        <v>1101</v>
      </c>
      <c r="R3" t="s">
        <v>599</v>
      </c>
      <c r="S3" t="s">
        <v>599</v>
      </c>
      <c r="T3" t="s">
        <v>599</v>
      </c>
      <c r="U3" t="s">
        <v>600</v>
      </c>
      <c r="V3" t="s">
        <v>600</v>
      </c>
      <c r="W3" t="s">
        <v>600</v>
      </c>
      <c r="X3" t="s">
        <v>603</v>
      </c>
      <c r="Y3" t="s">
        <v>603</v>
      </c>
      <c r="Z3" t="s">
        <v>603</v>
      </c>
      <c r="AA3" t="s">
        <v>1268</v>
      </c>
      <c r="AB3" t="s">
        <v>1268</v>
      </c>
      <c r="AC3" t="s">
        <v>1268</v>
      </c>
      <c r="AD3" t="s">
        <v>1103</v>
      </c>
      <c r="AE3" t="s">
        <v>1103</v>
      </c>
      <c r="AF3" t="s">
        <v>1103</v>
      </c>
      <c r="AG3" t="s">
        <v>1104</v>
      </c>
      <c r="AH3" t="s">
        <v>1104</v>
      </c>
      <c r="AI3" t="s">
        <v>1104</v>
      </c>
      <c r="AJ3" t="s">
        <v>1105</v>
      </c>
      <c r="AK3" t="s">
        <v>1105</v>
      </c>
      <c r="AL3" t="s">
        <v>1105</v>
      </c>
      <c r="AM3" t="s">
        <v>1106</v>
      </c>
      <c r="AN3" t="s">
        <v>1106</v>
      </c>
      <c r="AO3" t="s">
        <v>1106</v>
      </c>
      <c r="AP3" t="s">
        <v>1107</v>
      </c>
      <c r="AQ3" t="s">
        <v>1107</v>
      </c>
      <c r="AR3" t="s">
        <v>1107</v>
      </c>
      <c r="AS3" t="s">
        <v>1108</v>
      </c>
      <c r="AT3" t="s">
        <v>1108</v>
      </c>
      <c r="AU3" t="s">
        <v>1108</v>
      </c>
      <c r="AV3" t="s">
        <v>1109</v>
      </c>
      <c r="AW3" t="s">
        <v>1109</v>
      </c>
      <c r="AX3" t="s">
        <v>1109</v>
      </c>
      <c r="AY3" t="s">
        <v>1110</v>
      </c>
      <c r="AZ3" t="s">
        <v>1110</v>
      </c>
      <c r="BA3" t="s">
        <v>1110</v>
      </c>
      <c r="BB3" t="s">
        <v>1111</v>
      </c>
      <c r="BC3" t="s">
        <v>1111</v>
      </c>
      <c r="BD3" t="s">
        <v>1111</v>
      </c>
    </row>
    <row r="4" spans="1:65" s="1" customFormat="1" ht="105">
      <c r="A4" s="1" t="s">
        <v>557</v>
      </c>
      <c r="B4" s="1" t="s">
        <v>650</v>
      </c>
      <c r="C4" s="110" t="str">
        <f>C3&amp;": "&amp;C2</f>
        <v>PV Farms: Number</v>
      </c>
      <c r="D4" s="110" t="str">
        <f t="shared" ref="D4:BD4" si="0">D3&amp;": "&amp;D2</f>
        <v>PV Farms: Capacity (MW)</v>
      </c>
      <c r="E4" s="110" t="str">
        <f t="shared" si="0"/>
        <v>PV Farms: Energy (GWh)</v>
      </c>
      <c r="F4" s="110" t="str">
        <f t="shared" si="0"/>
        <v>Large Scale Wind: Number</v>
      </c>
      <c r="G4" s="110" t="str">
        <f t="shared" si="0"/>
        <v>Large Scale Wind: Capacity (MW)</v>
      </c>
      <c r="H4" s="110" t="str">
        <f t="shared" si="0"/>
        <v>Large Scale Wind: Energy (GWh)</v>
      </c>
      <c r="I4" s="110" t="str">
        <f t="shared" si="0"/>
        <v>Medium Scale Wind: Number</v>
      </c>
      <c r="J4" s="110" t="str">
        <f t="shared" si="0"/>
        <v>Medium Scale Wind: Capacity (MW)</v>
      </c>
      <c r="K4" s="110" t="str">
        <f t="shared" si="0"/>
        <v>Medium Scale Wind: Energy (GWh)</v>
      </c>
      <c r="L4" s="110" t="str">
        <f t="shared" si="0"/>
        <v>Hydro: Number</v>
      </c>
      <c r="M4" s="110" t="str">
        <f t="shared" si="0"/>
        <v>Hydro: Capacity (MW)</v>
      </c>
      <c r="N4" s="110" t="str">
        <f t="shared" si="0"/>
        <v>Hydro: Energy (GWh)</v>
      </c>
      <c r="O4" s="110" t="str">
        <f t="shared" si="0"/>
        <v>Geothermal: Number</v>
      </c>
      <c r="P4" s="110" t="str">
        <f t="shared" si="0"/>
        <v>Geothermal: Capacity (MW)</v>
      </c>
      <c r="Q4" s="110" t="str">
        <f t="shared" si="0"/>
        <v>Geothermal: Energy (GWh)</v>
      </c>
      <c r="R4" s="110" t="str">
        <f t="shared" si="0"/>
        <v>Clean Wood: Number</v>
      </c>
      <c r="S4" s="110" t="str">
        <f t="shared" si="0"/>
        <v>Clean Wood: Capacity (MW)</v>
      </c>
      <c r="T4" s="110" t="str">
        <f t="shared" si="0"/>
        <v>Clean Wood: Energy (GWh)</v>
      </c>
      <c r="U4" s="110" t="str">
        <f t="shared" si="0"/>
        <v>Treated Wood: Number</v>
      </c>
      <c r="V4" s="110" t="str">
        <f t="shared" si="0"/>
        <v>Treated Wood: Capacity (MW)</v>
      </c>
      <c r="W4" s="110" t="str">
        <f t="shared" si="0"/>
        <v>Treated Wood: Energy (GWh)</v>
      </c>
      <c r="X4" s="110" t="str">
        <f t="shared" si="0"/>
        <v>Wet Biomass: Number</v>
      </c>
      <c r="Y4" s="110" t="str">
        <f t="shared" si="0"/>
        <v>Wet Biomass: Capacity (MW)</v>
      </c>
      <c r="Z4" s="110" t="str">
        <f t="shared" si="0"/>
        <v>Wet Biomass: Energy (GWh)</v>
      </c>
      <c r="AA4" s="110" t="str">
        <f t="shared" si="0"/>
        <v>Residual Waste: Number</v>
      </c>
      <c r="AB4" s="110" t="str">
        <f t="shared" si="0"/>
        <v>Residual Waste: Capacity (MW)</v>
      </c>
      <c r="AC4" s="110" t="str">
        <f t="shared" si="0"/>
        <v>Residual Waste: Energy (GWh)</v>
      </c>
      <c r="AD4" s="110" t="str">
        <f t="shared" si="0"/>
        <v>Domestic PV: Number</v>
      </c>
      <c r="AE4" s="110" t="str">
        <f t="shared" si="0"/>
        <v>Domestic PV: Capacity (MW)</v>
      </c>
      <c r="AF4" s="110" t="str">
        <f t="shared" si="0"/>
        <v>Domestic PV: Energy (GWh)</v>
      </c>
      <c r="AG4" s="110" t="str">
        <f t="shared" si="0"/>
        <v>Non-domestic PV: Number</v>
      </c>
      <c r="AH4" s="110" t="str">
        <f t="shared" si="0"/>
        <v>Non-domestic PV: Capacity (MW)</v>
      </c>
      <c r="AI4" s="110" t="str">
        <f t="shared" si="0"/>
        <v>Non-domestic PV: Energy (GWh)</v>
      </c>
      <c r="AJ4" s="110" t="str">
        <f t="shared" si="0"/>
        <v>Domestic SWH: Number</v>
      </c>
      <c r="AK4" s="110" t="str">
        <f t="shared" si="0"/>
        <v>Domestic SWH: Capacity (MW)</v>
      </c>
      <c r="AL4" s="110" t="str">
        <f t="shared" si="0"/>
        <v>Domestic SWH: Energy (GWh)</v>
      </c>
      <c r="AM4" s="110" t="str">
        <f t="shared" si="0"/>
        <v>Non-domestic SWH: Number</v>
      </c>
      <c r="AN4" s="110" t="str">
        <f t="shared" si="0"/>
        <v>Non-domestic SWH: Capacity (MW)</v>
      </c>
      <c r="AO4" s="110" t="str">
        <f t="shared" si="0"/>
        <v>Non-domestic SWH: Energy (GWh)</v>
      </c>
      <c r="AP4" s="110" t="str">
        <f t="shared" si="0"/>
        <v>Domestic biomass: Number</v>
      </c>
      <c r="AQ4" s="110" t="str">
        <f t="shared" si="0"/>
        <v>Domestic biomass: Capacity (MW)</v>
      </c>
      <c r="AR4" s="110" t="str">
        <f t="shared" si="0"/>
        <v>Domestic biomass: Energy (GWh)</v>
      </c>
      <c r="AS4" s="110" t="str">
        <f t="shared" si="0"/>
        <v>Non-domestic biomass: Number</v>
      </c>
      <c r="AT4" s="110" t="str">
        <f t="shared" si="0"/>
        <v>Non-domestic biomass: Capacity (MW)</v>
      </c>
      <c r="AU4" s="110" t="str">
        <f t="shared" si="0"/>
        <v>Non-domestic biomass: Energy (GWh)</v>
      </c>
      <c r="AV4" s="110" t="str">
        <f t="shared" si="0"/>
        <v>Domestic Heat Pumps: Number</v>
      </c>
      <c r="AW4" s="110" t="str">
        <f t="shared" si="0"/>
        <v>Domestic Heat Pumps: Capacity (MW)</v>
      </c>
      <c r="AX4" s="110" t="str">
        <f t="shared" si="0"/>
        <v>Domestic Heat Pumps: Energy (GWh)</v>
      </c>
      <c r="AY4" s="110" t="str">
        <f t="shared" si="0"/>
        <v>Non-domestic heat pumps: Number</v>
      </c>
      <c r="AZ4" s="110" t="str">
        <f t="shared" si="0"/>
        <v>Non-domestic heat pumps: Capacity (MW)</v>
      </c>
      <c r="BA4" s="110" t="str">
        <f t="shared" si="0"/>
        <v>Non-domestic heat pumps: Energy (GWh)</v>
      </c>
      <c r="BB4" s="110" t="str">
        <f t="shared" si="0"/>
        <v>Micro Wind: Number</v>
      </c>
      <c r="BC4" s="110" t="str">
        <f t="shared" si="0"/>
        <v>Micro Wind: Capacity (MW)</v>
      </c>
      <c r="BD4" s="110" t="str">
        <f t="shared" si="0"/>
        <v>Micro Wind: Energy (GWh)</v>
      </c>
      <c r="BE4" s="110" t="s">
        <v>1158</v>
      </c>
      <c r="BF4" s="110" t="s">
        <v>1159</v>
      </c>
      <c r="BG4" s="110" t="s">
        <v>1160</v>
      </c>
      <c r="BH4" s="110" t="s">
        <v>1161</v>
      </c>
      <c r="BI4" s="110" t="s">
        <v>1162</v>
      </c>
      <c r="BJ4" s="110" t="s">
        <v>1163</v>
      </c>
      <c r="BK4" s="110" t="s">
        <v>1164</v>
      </c>
      <c r="BL4" s="110" t="s">
        <v>1165</v>
      </c>
      <c r="BM4" s="110" t="s">
        <v>1166</v>
      </c>
    </row>
    <row r="5" spans="1:65" s="38" customFormat="1">
      <c r="A5" t="s">
        <v>59</v>
      </c>
      <c r="B5" t="s">
        <v>1157</v>
      </c>
      <c r="C5" s="124">
        <v>0</v>
      </c>
      <c r="D5" s="124">
        <v>0</v>
      </c>
      <c r="E5" s="124">
        <v>0</v>
      </c>
      <c r="F5" s="124">
        <v>0</v>
      </c>
      <c r="G5" s="124">
        <v>0</v>
      </c>
      <c r="H5" s="124">
        <v>0</v>
      </c>
      <c r="I5" s="124">
        <v>0</v>
      </c>
      <c r="J5" s="124">
        <v>0</v>
      </c>
      <c r="K5" s="124">
        <v>0</v>
      </c>
      <c r="L5" s="124">
        <v>0</v>
      </c>
      <c r="M5" s="124">
        <v>0</v>
      </c>
      <c r="N5" s="124">
        <v>0</v>
      </c>
      <c r="O5" s="124">
        <v>0</v>
      </c>
      <c r="P5" s="124">
        <v>0</v>
      </c>
      <c r="Q5" s="124">
        <v>0</v>
      </c>
      <c r="R5" s="124">
        <v>0</v>
      </c>
      <c r="S5" s="124">
        <v>0</v>
      </c>
      <c r="T5" s="124">
        <v>0</v>
      </c>
      <c r="U5" s="124">
        <v>0</v>
      </c>
      <c r="V5" s="124">
        <v>0</v>
      </c>
      <c r="W5" s="124">
        <v>0</v>
      </c>
      <c r="X5" s="124">
        <v>0</v>
      </c>
      <c r="Y5" s="124">
        <v>0</v>
      </c>
      <c r="Z5" s="124">
        <v>0</v>
      </c>
      <c r="AA5" s="124">
        <v>0</v>
      </c>
      <c r="AB5" s="124">
        <v>0</v>
      </c>
      <c r="AC5" s="124">
        <v>0</v>
      </c>
      <c r="AD5" s="124">
        <v>0</v>
      </c>
      <c r="AE5" s="124">
        <v>0</v>
      </c>
      <c r="AF5" s="124">
        <v>0</v>
      </c>
      <c r="AG5" s="124">
        <v>0</v>
      </c>
      <c r="AH5" s="124">
        <v>0</v>
      </c>
      <c r="AI5" s="124">
        <v>0</v>
      </c>
      <c r="AJ5" s="124">
        <v>0</v>
      </c>
      <c r="AK5" s="124">
        <v>0</v>
      </c>
      <c r="AL5" s="124">
        <v>0</v>
      </c>
      <c r="AM5" s="124">
        <v>0</v>
      </c>
      <c r="AN5" s="124">
        <v>0</v>
      </c>
      <c r="AO5" s="124">
        <v>0</v>
      </c>
      <c r="AP5" s="124">
        <v>0</v>
      </c>
      <c r="AQ5" s="124">
        <v>0</v>
      </c>
      <c r="AR5" s="124">
        <v>0</v>
      </c>
      <c r="AS5" s="124">
        <v>0</v>
      </c>
      <c r="AT5" s="124">
        <v>0</v>
      </c>
      <c r="AU5" s="124">
        <v>0</v>
      </c>
      <c r="AV5" s="124">
        <v>0</v>
      </c>
      <c r="AW5" s="124">
        <v>0</v>
      </c>
      <c r="AX5" s="124">
        <v>0</v>
      </c>
      <c r="AY5" s="124">
        <v>0</v>
      </c>
      <c r="AZ5" s="124">
        <v>0</v>
      </c>
      <c r="BA5" s="124">
        <v>0</v>
      </c>
      <c r="BB5" s="124">
        <v>0</v>
      </c>
      <c r="BC5" s="124">
        <v>0</v>
      </c>
      <c r="BD5" s="124">
        <v>0</v>
      </c>
      <c r="BE5" s="125">
        <f>'summary of demand'!C35</f>
        <v>530.73375310592166</v>
      </c>
      <c r="BF5" s="125">
        <f>'summary of demand'!D35</f>
        <v>356.70438762203639</v>
      </c>
      <c r="BG5" s="125">
        <f>'summary of demand'!E35</f>
        <v>679.5889787666473</v>
      </c>
      <c r="BH5" s="125">
        <f>'summary of demand'!F35</f>
        <v>83.150832111255568</v>
      </c>
      <c r="BI5" s="125">
        <f>'summary of demand'!G35</f>
        <v>112.3907986851716</v>
      </c>
      <c r="BJ5" s="125">
        <f>'summary of demand'!H35</f>
        <v>94.13265697755071</v>
      </c>
      <c r="BK5" s="125">
        <f>'summary of demand'!I35</f>
        <v>132.68343827648039</v>
      </c>
      <c r="BL5" s="125">
        <f>'summary of demand'!J35</f>
        <v>300.99760667197279</v>
      </c>
      <c r="BM5" s="125">
        <f>'summary of demand'!K35</f>
        <v>30.684705700325821</v>
      </c>
    </row>
    <row r="6" spans="1:65">
      <c r="A6" t="s">
        <v>59</v>
      </c>
      <c r="B6" t="s">
        <v>1152</v>
      </c>
      <c r="C6" s="24">
        <f>pv!C157</f>
        <v>5</v>
      </c>
      <c r="D6" s="24">
        <f>pv!D157</f>
        <v>21</v>
      </c>
      <c r="E6" s="24">
        <f>pv!E157</f>
        <v>75.097766355140195</v>
      </c>
      <c r="F6" s="24">
        <f>wind!C51</f>
        <v>46</v>
      </c>
      <c r="G6" s="24">
        <f>wind!D51</f>
        <v>115</v>
      </c>
      <c r="H6" s="24">
        <f>wind!E51</f>
        <v>325</v>
      </c>
      <c r="I6" s="24">
        <f>wind!C63</f>
        <v>6</v>
      </c>
      <c r="J6" s="24">
        <f>wind!D63</f>
        <v>1.35</v>
      </c>
      <c r="K6" s="24">
        <f>wind!E63</f>
        <v>2.4000000000000004</v>
      </c>
      <c r="L6" s="24">
        <f>hydro!J150</f>
        <v>27</v>
      </c>
      <c r="M6" s="24">
        <f>hydro!K150</f>
        <v>1.478</v>
      </c>
      <c r="N6" s="24">
        <f>hydro!L150</f>
        <v>6.5318310876632264</v>
      </c>
      <c r="O6" s="24">
        <v>0</v>
      </c>
      <c r="P6" s="24">
        <v>0</v>
      </c>
      <c r="Q6" s="24">
        <v>0</v>
      </c>
      <c r="R6" s="24">
        <v>0</v>
      </c>
      <c r="S6" s="24">
        <f>'wood and waste'!C108</f>
        <v>68.801203975509111</v>
      </c>
      <c r="T6" s="24">
        <f>'wood and waste'!D108</f>
        <v>90.244514404768196</v>
      </c>
      <c r="U6" s="24">
        <v>0</v>
      </c>
      <c r="V6" s="24">
        <f>'wood and waste'!C116</f>
        <v>0.92140199560290881</v>
      </c>
      <c r="W6" s="24">
        <f>'wood and waste'!G116</f>
        <v>10.8965</v>
      </c>
      <c r="X6" s="24">
        <v>0</v>
      </c>
      <c r="Y6" s="24">
        <f>'wood and waste'!C124</f>
        <v>0.66376470065956361</v>
      </c>
      <c r="Z6" s="24">
        <f>'wood and waste'!G124</f>
        <v>9.5940549833333328</v>
      </c>
      <c r="AA6" s="124">
        <v>0</v>
      </c>
      <c r="AB6" s="24">
        <f>'wood and waste'!D143</f>
        <v>3.0220049940412008</v>
      </c>
      <c r="AC6" s="24">
        <f>'wood and waste'!E143</f>
        <v>25.40722717212417</v>
      </c>
      <c r="AD6" s="24">
        <f>'roof solar'!C82</f>
        <v>10267.950000000001</v>
      </c>
      <c r="AE6" s="24">
        <f>'roof solar'!D82</f>
        <v>20.535900000000002</v>
      </c>
      <c r="AF6" s="24">
        <f>'roof solar'!E82</f>
        <v>19.693928100000001</v>
      </c>
      <c r="AG6" s="24">
        <f>'roof solar'!F82+'roof solar'!I82+'roof solar'!L82</f>
        <v>1893</v>
      </c>
      <c r="AH6" s="24">
        <f>'roof solar'!G82+'roof solar'!J82+'roof solar'!M82</f>
        <v>11.2</v>
      </c>
      <c r="AI6" s="24">
        <f>'roof solar'!H82+'roof solar'!K82+'roof solar'!N82</f>
        <v>10.7408</v>
      </c>
      <c r="AJ6" s="24">
        <f>'roof solar'!C75</f>
        <v>9214.5</v>
      </c>
      <c r="AK6" s="24">
        <f>'roof solar'!D75</f>
        <v>18.428999999999998</v>
      </c>
      <c r="AL6" s="24">
        <f>'roof solar'!E75</f>
        <v>12.915043199999998</v>
      </c>
      <c r="AM6" s="24">
        <f>'roof solar'!F75</f>
        <v>268</v>
      </c>
      <c r="AN6" s="24">
        <f>'roof solar'!G75</f>
        <v>2.68</v>
      </c>
      <c r="AO6" s="24">
        <f>'roof solar'!H75</f>
        <v>1.8781440000000005</v>
      </c>
      <c r="AP6" s="24">
        <f>'space heating'!C66</f>
        <v>15299.197432083361</v>
      </c>
      <c r="AQ6" s="24">
        <f>'space heating'!D66</f>
        <v>152.99197432083363</v>
      </c>
      <c r="AR6" s="24">
        <f>'space heating'!E66</f>
        <v>167.52621188131283</v>
      </c>
      <c r="AS6" s="24">
        <f>'space heating'!F66+'space heating'!I66</f>
        <v>71.5</v>
      </c>
      <c r="AT6" s="24">
        <f>'space heating'!G66+'space heating'!J66</f>
        <v>33.606249999999996</v>
      </c>
      <c r="AU6" s="24">
        <f>'space heating'!H66+'space heating'!K66</f>
        <v>115.0088355</v>
      </c>
      <c r="AV6" s="24">
        <f>'space heating'!C73</f>
        <v>11597.28055849361</v>
      </c>
      <c r="AW6" s="24">
        <f>'space heating'!D73</f>
        <v>115.97280558493611</v>
      </c>
      <c r="AX6" s="24">
        <f>'space heating'!E73</f>
        <v>132.06983100012525</v>
      </c>
      <c r="AY6" s="24">
        <f>'space heating'!F73</f>
        <v>395</v>
      </c>
      <c r="AZ6" s="24">
        <f>'space heating'!G73</f>
        <v>21.725000000000001</v>
      </c>
      <c r="BA6" s="24">
        <f>'space heating'!H73</f>
        <v>66.608850000000004</v>
      </c>
      <c r="BB6" s="24">
        <f>'micro wind'!L75</f>
        <v>21098.061723619623</v>
      </c>
      <c r="BC6" s="24">
        <f>'micro wind'!M75</f>
        <v>109.30372250022732</v>
      </c>
      <c r="BD6" s="24">
        <f>'micro wind'!N75</f>
        <v>163.77726871556209</v>
      </c>
      <c r="BE6" s="125">
        <v>0</v>
      </c>
      <c r="BF6" s="125">
        <v>0</v>
      </c>
      <c r="BG6" s="125">
        <v>0</v>
      </c>
      <c r="BH6" s="125">
        <v>0</v>
      </c>
      <c r="BI6" s="125">
        <v>0</v>
      </c>
      <c r="BJ6" s="125">
        <v>0</v>
      </c>
      <c r="BK6" s="125">
        <v>0</v>
      </c>
      <c r="BL6" s="125">
        <v>0</v>
      </c>
      <c r="BM6" s="125">
        <v>0</v>
      </c>
    </row>
    <row r="7" spans="1:65">
      <c r="A7" t="s">
        <v>61</v>
      </c>
      <c r="B7" t="s">
        <v>1157</v>
      </c>
      <c r="C7" s="124">
        <v>0</v>
      </c>
      <c r="D7" s="124">
        <v>0</v>
      </c>
      <c r="E7" s="124">
        <v>0</v>
      </c>
      <c r="F7" s="124">
        <v>0</v>
      </c>
      <c r="G7" s="124">
        <v>0</v>
      </c>
      <c r="H7" s="124">
        <v>0</v>
      </c>
      <c r="I7" s="124">
        <v>0</v>
      </c>
      <c r="J7" s="124">
        <v>0</v>
      </c>
      <c r="K7" s="124">
        <v>0</v>
      </c>
      <c r="L7" s="124">
        <v>0</v>
      </c>
      <c r="M7" s="124">
        <v>0</v>
      </c>
      <c r="N7" s="124">
        <v>0</v>
      </c>
      <c r="O7" s="124">
        <v>0</v>
      </c>
      <c r="P7" s="124">
        <v>0</v>
      </c>
      <c r="Q7" s="124">
        <v>0</v>
      </c>
      <c r="R7" s="124">
        <v>0</v>
      </c>
      <c r="S7" s="124">
        <v>0</v>
      </c>
      <c r="T7" s="124">
        <v>0</v>
      </c>
      <c r="U7" s="124">
        <v>0</v>
      </c>
      <c r="V7" s="124">
        <v>0</v>
      </c>
      <c r="W7" s="124">
        <v>0</v>
      </c>
      <c r="X7" s="124">
        <v>0</v>
      </c>
      <c r="Y7" s="124">
        <v>0</v>
      </c>
      <c r="Z7" s="124">
        <v>0</v>
      </c>
      <c r="AA7" s="124">
        <v>0</v>
      </c>
      <c r="AB7" s="124">
        <v>0</v>
      </c>
      <c r="AC7" s="124">
        <v>0</v>
      </c>
      <c r="AD7" s="124">
        <v>0</v>
      </c>
      <c r="AE7" s="124">
        <v>0</v>
      </c>
      <c r="AF7" s="124">
        <v>0</v>
      </c>
      <c r="AG7" s="124">
        <v>0</v>
      </c>
      <c r="AH7" s="124">
        <v>0</v>
      </c>
      <c r="AI7" s="124">
        <v>0</v>
      </c>
      <c r="AJ7" s="124">
        <v>0</v>
      </c>
      <c r="AK7" s="124">
        <v>0</v>
      </c>
      <c r="AL7" s="124">
        <v>0</v>
      </c>
      <c r="AM7" s="124">
        <v>0</v>
      </c>
      <c r="AN7" s="124">
        <v>0</v>
      </c>
      <c r="AO7" s="124">
        <v>0</v>
      </c>
      <c r="AP7" s="124">
        <v>0</v>
      </c>
      <c r="AQ7" s="124">
        <v>0</v>
      </c>
      <c r="AR7" s="124">
        <v>0</v>
      </c>
      <c r="AS7" s="124">
        <v>0</v>
      </c>
      <c r="AT7" s="124">
        <v>0</v>
      </c>
      <c r="AU7" s="124">
        <v>0</v>
      </c>
      <c r="AV7" s="124">
        <v>0</v>
      </c>
      <c r="AW7" s="124">
        <v>0</v>
      </c>
      <c r="AX7" s="124">
        <v>0</v>
      </c>
      <c r="AY7" s="124">
        <v>0</v>
      </c>
      <c r="AZ7" s="124">
        <v>0</v>
      </c>
      <c r="BA7" s="124">
        <v>0</v>
      </c>
      <c r="BB7" s="124">
        <v>0</v>
      </c>
      <c r="BC7" s="124">
        <v>0</v>
      </c>
      <c r="BD7" s="124">
        <v>0</v>
      </c>
      <c r="BE7" s="125">
        <f>'summary of demand'!C36</f>
        <v>337.20441753472107</v>
      </c>
      <c r="BF7" s="125">
        <f>'summary of demand'!D36</f>
        <v>243.33457703377769</v>
      </c>
      <c r="BG7" s="125">
        <f>'summary of demand'!E36</f>
        <v>572.21824324028614</v>
      </c>
      <c r="BH7" s="125">
        <f>'summary of demand'!F36</f>
        <v>59.790037795771525</v>
      </c>
      <c r="BI7" s="125">
        <f>'summary of demand'!G36</f>
        <v>76.595868882034438</v>
      </c>
      <c r="BJ7" s="125">
        <f>'summary of demand'!H36</f>
        <v>79.291267221478279</v>
      </c>
      <c r="BK7" s="125">
        <f>'summary of demand'!I36</f>
        <v>84.30110438368024</v>
      </c>
      <c r="BL7" s="125">
        <f>'summary of demand'!J36</f>
        <v>184.16257010764423</v>
      </c>
      <c r="BM7" s="125">
        <f>'summary of demand'!K36</f>
        <v>26.070409430868494</v>
      </c>
    </row>
    <row r="8" spans="1:65">
      <c r="A8" t="s">
        <v>61</v>
      </c>
      <c r="B8" t="s">
        <v>1152</v>
      </c>
      <c r="C8" s="24">
        <f>pv!C158</f>
        <v>7</v>
      </c>
      <c r="D8" s="24">
        <f>pv!D158</f>
        <v>29.400000000000002</v>
      </c>
      <c r="E8" s="24">
        <f>pv!E158</f>
        <v>105.13687289719627</v>
      </c>
      <c r="F8" s="24">
        <f>wind!C52</f>
        <v>175</v>
      </c>
      <c r="G8" s="24">
        <f>wind!D52</f>
        <v>437</v>
      </c>
      <c r="H8" s="24">
        <f>wind!E52</f>
        <v>966</v>
      </c>
      <c r="I8" s="24">
        <f>wind!C64</f>
        <v>3</v>
      </c>
      <c r="J8" s="24">
        <f>wind!D64</f>
        <v>0.67500000000000004</v>
      </c>
      <c r="K8" s="24">
        <f>wind!E64</f>
        <v>1.2000000000000002</v>
      </c>
      <c r="L8" s="24">
        <f>hydro!J151</f>
        <v>46</v>
      </c>
      <c r="M8" s="24">
        <f>hydro!K151</f>
        <v>4.8930000000000007</v>
      </c>
      <c r="N8" s="24">
        <f>hydro!L151</f>
        <v>21.853072153325819</v>
      </c>
      <c r="O8" s="24">
        <v>0</v>
      </c>
      <c r="P8" s="24">
        <v>0</v>
      </c>
      <c r="Q8" s="24">
        <v>0</v>
      </c>
      <c r="R8" s="24">
        <v>0</v>
      </c>
      <c r="S8" s="24">
        <f>'wood and waste'!C109</f>
        <v>92.058206086811296</v>
      </c>
      <c r="T8" s="24">
        <f>'wood and waste'!D109</f>
        <v>120.41189130982447</v>
      </c>
      <c r="U8" s="24">
        <v>0</v>
      </c>
      <c r="V8" s="24">
        <f>'wood and waste'!C117</f>
        <v>0.4996617622188399</v>
      </c>
      <c r="W8" s="24">
        <f>'wood and waste'!G117</f>
        <v>5.9089999999999998</v>
      </c>
      <c r="X8" s="24">
        <v>0</v>
      </c>
      <c r="Y8" s="24">
        <f>'wood and waste'!C125</f>
        <v>0.66499512261119575</v>
      </c>
      <c r="Z8" s="24">
        <f>'wood and waste'!G125</f>
        <v>9.6118395022222227</v>
      </c>
      <c r="AA8" s="124">
        <v>0</v>
      </c>
      <c r="AB8" s="24">
        <f>'wood and waste'!D144</f>
        <v>1.915328301458487</v>
      </c>
      <c r="AC8" s="24">
        <f>'wood and waste'!E144</f>
        <v>16.102945349299134</v>
      </c>
      <c r="AD8" s="24">
        <f>'roof solar'!C83</f>
        <v>7111.25</v>
      </c>
      <c r="AE8" s="24">
        <f>'roof solar'!D83</f>
        <v>14.2225</v>
      </c>
      <c r="AF8" s="24">
        <f>'roof solar'!E83</f>
        <v>13.6393775</v>
      </c>
      <c r="AG8" s="24">
        <f>'roof solar'!F83+'roof solar'!I83+'roof solar'!L83</f>
        <v>1212</v>
      </c>
      <c r="AH8" s="24">
        <f>'roof solar'!G83+'roof solar'!J83+'roof solar'!M83</f>
        <v>6.97</v>
      </c>
      <c r="AI8" s="24">
        <f>'roof solar'!H83+'roof solar'!K83+'roof solar'!N83</f>
        <v>6.6842299999999994</v>
      </c>
      <c r="AJ8" s="24">
        <f>'roof solar'!C76</f>
        <v>5681.25</v>
      </c>
      <c r="AK8" s="24">
        <f>'roof solar'!D76</f>
        <v>11.362500000000001</v>
      </c>
      <c r="AL8" s="24">
        <f>'roof solar'!E76</f>
        <v>7.9628399999999999</v>
      </c>
      <c r="AM8" s="24">
        <f>'roof solar'!F76</f>
        <v>128</v>
      </c>
      <c r="AN8" s="24">
        <f>'roof solar'!G76</f>
        <v>1.28</v>
      </c>
      <c r="AO8" s="24">
        <f>'roof solar'!H76</f>
        <v>0.89702400000000015</v>
      </c>
      <c r="AP8" s="24">
        <f>'space heating'!C67</f>
        <v>10884.558976886932</v>
      </c>
      <c r="AQ8" s="24">
        <f>'space heating'!D67</f>
        <v>108.84558976886932</v>
      </c>
      <c r="AR8" s="24">
        <f>'space heating'!E67</f>
        <v>119.1859207969119</v>
      </c>
      <c r="AS8" s="24">
        <f>'space heating'!F67+'space heating'!I67</f>
        <v>47.75</v>
      </c>
      <c r="AT8" s="24">
        <f>'space heating'!G67+'space heating'!J67</f>
        <v>17.09375</v>
      </c>
      <c r="AU8" s="24">
        <f>'space heating'!H67+'space heating'!K67</f>
        <v>55.561833</v>
      </c>
      <c r="AV8" s="24">
        <f>'space heating'!C74</f>
        <v>6521.318315250116</v>
      </c>
      <c r="AW8" s="24">
        <f>'space heating'!D74</f>
        <v>65.213183152501159</v>
      </c>
      <c r="AX8" s="24">
        <f>'space heating'!E74</f>
        <v>74.264772974068322</v>
      </c>
      <c r="AY8" s="24">
        <f>'space heating'!F74</f>
        <v>261</v>
      </c>
      <c r="AZ8" s="24">
        <f>'space heating'!G74</f>
        <v>14.355</v>
      </c>
      <c r="BA8" s="24">
        <f>'space heating'!H74</f>
        <v>44.012430000000002</v>
      </c>
      <c r="BB8" s="24">
        <f>'micro wind'!L76</f>
        <v>13452.342682760345</v>
      </c>
      <c r="BC8" s="24">
        <f>'micro wind'!M76</f>
        <v>69.9762184726914</v>
      </c>
      <c r="BD8" s="24">
        <f>'micro wind'!N76</f>
        <v>104.92195647900826</v>
      </c>
      <c r="BE8" s="125">
        <v>0</v>
      </c>
      <c r="BF8" s="125">
        <v>0</v>
      </c>
      <c r="BG8" s="125">
        <v>0</v>
      </c>
      <c r="BH8" s="125">
        <v>0</v>
      </c>
      <c r="BI8" s="125">
        <v>0</v>
      </c>
      <c r="BJ8" s="125">
        <v>0</v>
      </c>
      <c r="BK8" s="125">
        <v>0</v>
      </c>
      <c r="BL8" s="125">
        <v>0</v>
      </c>
      <c r="BM8" s="125">
        <v>0</v>
      </c>
    </row>
    <row r="9" spans="1:65">
      <c r="A9" t="s">
        <v>227</v>
      </c>
      <c r="B9" t="s">
        <v>1157</v>
      </c>
      <c r="C9" s="124">
        <v>0</v>
      </c>
      <c r="D9" s="124">
        <v>0</v>
      </c>
      <c r="E9" s="124">
        <v>0</v>
      </c>
      <c r="F9" s="124">
        <v>0</v>
      </c>
      <c r="G9" s="124">
        <v>0</v>
      </c>
      <c r="H9" s="124">
        <v>0</v>
      </c>
      <c r="I9" s="124">
        <v>0</v>
      </c>
      <c r="J9" s="124">
        <v>0</v>
      </c>
      <c r="K9" s="124">
        <v>0</v>
      </c>
      <c r="L9" s="124">
        <v>0</v>
      </c>
      <c r="M9" s="124">
        <v>0</v>
      </c>
      <c r="N9" s="124">
        <v>0</v>
      </c>
      <c r="O9" s="124">
        <v>0</v>
      </c>
      <c r="P9" s="124">
        <v>0</v>
      </c>
      <c r="Q9" s="124">
        <v>0</v>
      </c>
      <c r="R9" s="124">
        <v>0</v>
      </c>
      <c r="S9" s="124">
        <v>0</v>
      </c>
      <c r="T9" s="124">
        <v>0</v>
      </c>
      <c r="U9" s="124">
        <v>0</v>
      </c>
      <c r="V9" s="124">
        <v>0</v>
      </c>
      <c r="W9" s="124">
        <v>0</v>
      </c>
      <c r="X9" s="124">
        <v>0</v>
      </c>
      <c r="Y9" s="124">
        <v>0</v>
      </c>
      <c r="Z9" s="124">
        <v>0</v>
      </c>
      <c r="AA9" s="124">
        <v>0</v>
      </c>
      <c r="AB9" s="124">
        <v>0</v>
      </c>
      <c r="AC9" s="124">
        <v>0</v>
      </c>
      <c r="AD9" s="124">
        <v>0</v>
      </c>
      <c r="AE9" s="124">
        <v>0</v>
      </c>
      <c r="AF9" s="124">
        <v>0</v>
      </c>
      <c r="AG9" s="124">
        <v>0</v>
      </c>
      <c r="AH9" s="124">
        <v>0</v>
      </c>
      <c r="AI9" s="124">
        <v>0</v>
      </c>
      <c r="AJ9" s="124">
        <v>0</v>
      </c>
      <c r="AK9" s="124">
        <v>0</v>
      </c>
      <c r="AL9" s="124">
        <v>0</v>
      </c>
      <c r="AM9" s="124">
        <v>0</v>
      </c>
      <c r="AN9" s="124">
        <v>0</v>
      </c>
      <c r="AO9" s="124">
        <v>0</v>
      </c>
      <c r="AP9" s="124">
        <v>0</v>
      </c>
      <c r="AQ9" s="124">
        <v>0</v>
      </c>
      <c r="AR9" s="124">
        <v>0</v>
      </c>
      <c r="AS9" s="124">
        <v>0</v>
      </c>
      <c r="AT9" s="124">
        <v>0</v>
      </c>
      <c r="AU9" s="124">
        <v>0</v>
      </c>
      <c r="AV9" s="124">
        <v>0</v>
      </c>
      <c r="AW9" s="124">
        <v>0</v>
      </c>
      <c r="AX9" s="124">
        <v>0</v>
      </c>
      <c r="AY9" s="124">
        <v>0</v>
      </c>
      <c r="AZ9" s="124">
        <v>0</v>
      </c>
      <c r="BA9" s="124">
        <v>0</v>
      </c>
      <c r="BB9" s="124">
        <v>0</v>
      </c>
      <c r="BC9" s="124">
        <v>0</v>
      </c>
      <c r="BD9" s="124">
        <v>0</v>
      </c>
      <c r="BE9" s="125">
        <f>'summary of demand'!C37</f>
        <v>146.19738798505799</v>
      </c>
      <c r="BF9" s="125">
        <f>'summary of demand'!D37</f>
        <v>164.99295768930881</v>
      </c>
      <c r="BG9" s="125">
        <f>'summary of demand'!E37</f>
        <v>355.42368732906465</v>
      </c>
      <c r="BH9" s="125">
        <f>'summary of demand'!F37</f>
        <v>23.374015908007323</v>
      </c>
      <c r="BI9" s="125">
        <f>'summary of demand'!G37</f>
        <v>47.946438647728883</v>
      </c>
      <c r="BJ9" s="125">
        <f>'summary of demand'!H37</f>
        <v>49.3213009269964</v>
      </c>
      <c r="BK9" s="125">
        <f>'summary of demand'!I37</f>
        <v>36.549346996264489</v>
      </c>
      <c r="BL9" s="125">
        <f>'summary of demand'!J37</f>
        <v>106.68437632128018</v>
      </c>
      <c r="BM9" s="125">
        <f>'summary of demand'!K37</f>
        <v>16.727946938271771</v>
      </c>
    </row>
    <row r="10" spans="1:65">
      <c r="A10" t="s">
        <v>227</v>
      </c>
      <c r="B10" t="s">
        <v>1152</v>
      </c>
      <c r="C10" s="24">
        <f>pv!C159</f>
        <v>0</v>
      </c>
      <c r="D10" s="24">
        <f>pv!D159</f>
        <v>0</v>
      </c>
      <c r="E10" s="24">
        <f>pv!E159</f>
        <v>0</v>
      </c>
      <c r="F10" s="24">
        <f>wind!C53</f>
        <v>0</v>
      </c>
      <c r="G10" s="24">
        <f>wind!D53</f>
        <v>0</v>
      </c>
      <c r="H10" s="24">
        <f>wind!E53</f>
        <v>0</v>
      </c>
      <c r="I10" s="24">
        <f>wind!C65</f>
        <v>3</v>
      </c>
      <c r="J10" s="24">
        <f>wind!D65</f>
        <v>0.67500000000000004</v>
      </c>
      <c r="K10" s="24">
        <f>wind!E65</f>
        <v>1.2000000000000002</v>
      </c>
      <c r="L10" s="24">
        <f>hydro!J152</f>
        <v>31</v>
      </c>
      <c r="M10" s="24">
        <f>hydro!K152</f>
        <v>3.8150000000000004</v>
      </c>
      <c r="N10" s="24">
        <f>hydro!L152</f>
        <v>16.979416009019168</v>
      </c>
      <c r="O10" s="24">
        <v>1</v>
      </c>
      <c r="P10" s="24">
        <f>geothermal!B12</f>
        <v>20.3125</v>
      </c>
      <c r="Q10" s="24">
        <f>geothermal!B14</f>
        <v>169.04062500000001</v>
      </c>
      <c r="R10" s="24">
        <v>0</v>
      </c>
      <c r="S10" s="24">
        <f>'wood and waste'!C110</f>
        <v>76.334752711546557</v>
      </c>
      <c r="T10" s="24">
        <f>'wood and waste'!D110</f>
        <v>99.027184575314791</v>
      </c>
      <c r="U10" s="24">
        <v>0</v>
      </c>
      <c r="V10" s="24">
        <f>'wood and waste'!C118</f>
        <v>0.26790881458838534</v>
      </c>
      <c r="W10" s="24">
        <f>'wood and waste'!G118</f>
        <v>3.1682896413222452</v>
      </c>
      <c r="X10" s="24">
        <v>0</v>
      </c>
      <c r="Y10" s="24">
        <f>'wood and waste'!C126</f>
        <v>8.0504889934001622E-2</v>
      </c>
      <c r="Z10" s="24">
        <f>'wood and waste'!G126</f>
        <v>1.1636176791060595</v>
      </c>
      <c r="AA10" s="124">
        <v>0</v>
      </c>
      <c r="AB10" s="24">
        <f>'wood and waste'!D145</f>
        <v>1.3837028132754823</v>
      </c>
      <c r="AC10" s="24">
        <f>'wood and waste'!E145</f>
        <v>11.633353281982759</v>
      </c>
      <c r="AD10" s="24">
        <f>'roof solar'!C84</f>
        <v>3855.9453929376023</v>
      </c>
      <c r="AE10" s="24">
        <f>'roof solar'!D84</f>
        <v>7.7118907858752044</v>
      </c>
      <c r="AF10" s="24">
        <f>'roof solar'!E84</f>
        <v>7.3957032636543207</v>
      </c>
      <c r="AG10" s="24">
        <f>'roof solar'!F84+'roof solar'!I84+'roof solar'!L84</f>
        <v>764.25491837383197</v>
      </c>
      <c r="AH10" s="24">
        <f>'roof solar'!G84+'roof solar'!J84+'roof solar'!M84</f>
        <v>4.3444113877862014</v>
      </c>
      <c r="AI10" s="24">
        <f>'roof solar'!H84+'roof solar'!K84+'roof solar'!N84</f>
        <v>4.1662905208869665</v>
      </c>
      <c r="AJ10" s="24">
        <f>'roof solar'!C77</f>
        <v>3530.9453929376023</v>
      </c>
      <c r="AK10" s="24">
        <f>'roof solar'!D77</f>
        <v>7.0618907858752049</v>
      </c>
      <c r="AL10" s="24">
        <f>'roof solar'!E77</f>
        <v>4.9489730627413442</v>
      </c>
      <c r="AM10" s="24">
        <f>'roof solar'!F77</f>
        <v>78.627359183408259</v>
      </c>
      <c r="AN10" s="24">
        <f>'roof solar'!G77</f>
        <v>0.78627359183408263</v>
      </c>
      <c r="AO10" s="24">
        <f>'roof solar'!H77</f>
        <v>0.55102053315732513</v>
      </c>
      <c r="AP10" s="24">
        <f>'space heating'!C68</f>
        <v>7151.1442321113518</v>
      </c>
      <c r="AQ10" s="24">
        <f>'space heating'!D68</f>
        <v>71.51144232111352</v>
      </c>
      <c r="AR10" s="24">
        <f>'space heating'!E68</f>
        <v>78.305029341619303</v>
      </c>
      <c r="AS10" s="24">
        <f>'space heating'!F68+'space heating'!I68</f>
        <v>26.828419897926032</v>
      </c>
      <c r="AT10" s="24">
        <f>'space heating'!G68+'space heating'!J68</f>
        <v>8.2283653073841183</v>
      </c>
      <c r="AU10" s="24">
        <f>'space heating'!H68+'space heating'!K68</f>
        <v>27.694444847269288</v>
      </c>
      <c r="AV10" s="24">
        <f>'space heating'!C75</f>
        <v>2763.1477858400176</v>
      </c>
      <c r="AW10" s="24">
        <f>'space heating'!D75</f>
        <v>27.631477858400174</v>
      </c>
      <c r="AX10" s="24">
        <f>'space heating'!E75</f>
        <v>31.466726985146121</v>
      </c>
      <c r="AY10" s="24">
        <f>'space heating'!F75</f>
        <v>165.90688979760594</v>
      </c>
      <c r="AZ10" s="24">
        <f>'space heating'!G75</f>
        <v>9.1248789388683278</v>
      </c>
      <c r="BA10" s="24">
        <f>'space heating'!H75</f>
        <v>27.976878826570289</v>
      </c>
      <c r="BB10" s="24">
        <f>'micro wind'!L77</f>
        <v>10644.110917659262</v>
      </c>
      <c r="BC10" s="24">
        <f>'micro wind'!M77</f>
        <v>58.602633391450752</v>
      </c>
      <c r="BD10" s="24">
        <f>'micro wind'!N77</f>
        <v>88.685451956017445</v>
      </c>
      <c r="BE10" s="125">
        <v>0</v>
      </c>
      <c r="BF10" s="125">
        <v>0</v>
      </c>
      <c r="BG10" s="125">
        <v>0</v>
      </c>
      <c r="BH10" s="125">
        <v>0</v>
      </c>
      <c r="BI10" s="125">
        <v>0</v>
      </c>
      <c r="BJ10" s="125">
        <v>0</v>
      </c>
      <c r="BK10" s="125">
        <v>0</v>
      </c>
      <c r="BL10" s="125">
        <v>0</v>
      </c>
      <c r="BM10" s="125">
        <v>0</v>
      </c>
    </row>
    <row r="11" spans="1:65">
      <c r="A11" t="s">
        <v>228</v>
      </c>
      <c r="B11" t="s">
        <v>1157</v>
      </c>
      <c r="C11" s="124">
        <v>0</v>
      </c>
      <c r="D11" s="124">
        <v>0</v>
      </c>
      <c r="E11" s="124">
        <v>0</v>
      </c>
      <c r="F11" s="124">
        <v>0</v>
      </c>
      <c r="G11" s="124">
        <v>0</v>
      </c>
      <c r="H11" s="124">
        <v>0</v>
      </c>
      <c r="I11" s="124">
        <v>0</v>
      </c>
      <c r="J11" s="124">
        <v>0</v>
      </c>
      <c r="K11" s="124">
        <v>0</v>
      </c>
      <c r="L11" s="124">
        <v>0</v>
      </c>
      <c r="M11" s="124">
        <v>0</v>
      </c>
      <c r="N11" s="124">
        <v>0</v>
      </c>
      <c r="O11" s="124">
        <v>0</v>
      </c>
      <c r="P11" s="124">
        <v>0</v>
      </c>
      <c r="Q11" s="124">
        <v>0</v>
      </c>
      <c r="R11" s="124">
        <v>0</v>
      </c>
      <c r="S11" s="124">
        <v>0</v>
      </c>
      <c r="T11" s="124">
        <v>0</v>
      </c>
      <c r="U11" s="124">
        <v>0</v>
      </c>
      <c r="V11" s="124">
        <v>0</v>
      </c>
      <c r="W11" s="124">
        <v>0</v>
      </c>
      <c r="X11" s="124">
        <v>0</v>
      </c>
      <c r="Y11" s="124">
        <v>0</v>
      </c>
      <c r="Z11" s="124">
        <v>0</v>
      </c>
      <c r="AA11" s="124">
        <v>0</v>
      </c>
      <c r="AB11" s="124">
        <v>0</v>
      </c>
      <c r="AC11" s="124">
        <v>0</v>
      </c>
      <c r="AD11" s="124">
        <v>0</v>
      </c>
      <c r="AE11" s="124">
        <v>0</v>
      </c>
      <c r="AF11" s="124">
        <v>0</v>
      </c>
      <c r="AG11" s="124">
        <v>0</v>
      </c>
      <c r="AH11" s="124">
        <v>0</v>
      </c>
      <c r="AI11" s="124">
        <v>0</v>
      </c>
      <c r="AJ11" s="124">
        <v>0</v>
      </c>
      <c r="AK11" s="124">
        <v>0</v>
      </c>
      <c r="AL11" s="124">
        <v>0</v>
      </c>
      <c r="AM11" s="124">
        <v>0</v>
      </c>
      <c r="AN11" s="124">
        <v>0</v>
      </c>
      <c r="AO11" s="124">
        <v>0</v>
      </c>
      <c r="AP11" s="124">
        <v>0</v>
      </c>
      <c r="AQ11" s="124">
        <v>0</v>
      </c>
      <c r="AR11" s="124">
        <v>0</v>
      </c>
      <c r="AS11" s="124">
        <v>0</v>
      </c>
      <c r="AT11" s="124">
        <v>0</v>
      </c>
      <c r="AU11" s="124">
        <v>0</v>
      </c>
      <c r="AV11" s="124">
        <v>0</v>
      </c>
      <c r="AW11" s="124">
        <v>0</v>
      </c>
      <c r="AX11" s="124">
        <v>0</v>
      </c>
      <c r="AY11" s="124">
        <v>0</v>
      </c>
      <c r="AZ11" s="124">
        <v>0</v>
      </c>
      <c r="BA11" s="124">
        <v>0</v>
      </c>
      <c r="BB11" s="124">
        <v>0</v>
      </c>
      <c r="BC11" s="124">
        <v>0</v>
      </c>
      <c r="BD11" s="124">
        <v>0</v>
      </c>
      <c r="BE11" s="125">
        <f>'summary of demand'!C38</f>
        <v>932.90649588738052</v>
      </c>
      <c r="BF11" s="125">
        <f>'summary of demand'!D38</f>
        <v>662.64400934932837</v>
      </c>
      <c r="BG11" s="125">
        <f>'summary of demand'!E38</f>
        <v>1384.8668873816923</v>
      </c>
      <c r="BH11" s="125">
        <f>'summary of demand'!F38</f>
        <v>153.80583244450372</v>
      </c>
      <c r="BI11" s="125">
        <f>'summary of demand'!G38</f>
        <v>208.39794065744991</v>
      </c>
      <c r="BJ11" s="125">
        <f>'summary of demand'!H38</f>
        <v>191.93890080379629</v>
      </c>
      <c r="BK11" s="125">
        <f>'summary of demand'!I38</f>
        <v>233.22662397184513</v>
      </c>
      <c r="BL11" s="125">
        <f>'summary of demand'!J38</f>
        <v>533.16861607963915</v>
      </c>
      <c r="BM11" s="125">
        <f>'summary of demand'!K38</f>
        <v>63.399364137861767</v>
      </c>
    </row>
    <row r="12" spans="1:65">
      <c r="A12" t="s">
        <v>228</v>
      </c>
      <c r="B12" t="s">
        <v>1152</v>
      </c>
      <c r="C12" s="24">
        <f>pv!C160</f>
        <v>12</v>
      </c>
      <c r="D12" s="24">
        <f>pv!D160</f>
        <v>50.400000000000006</v>
      </c>
      <c r="E12" s="24">
        <f>pv!E160</f>
        <v>180.23463925233648</v>
      </c>
      <c r="F12" s="24">
        <f>wind!C54</f>
        <v>221</v>
      </c>
      <c r="G12" s="24">
        <f>wind!D54</f>
        <v>552</v>
      </c>
      <c r="H12" s="24">
        <f>wind!E54</f>
        <v>1291</v>
      </c>
      <c r="I12" s="24">
        <f>wind!C66</f>
        <v>10</v>
      </c>
      <c r="J12" s="24">
        <f>wind!D66</f>
        <v>2.25</v>
      </c>
      <c r="K12" s="24">
        <f>wind!E66</f>
        <v>4</v>
      </c>
      <c r="L12" s="24">
        <f>hydro!J153</f>
        <v>75</v>
      </c>
      <c r="M12" s="24">
        <f>hydro!K153</f>
        <v>6.3810000000000002</v>
      </c>
      <c r="N12" s="24">
        <f>hydro!L153</f>
        <v>28.432355326671118</v>
      </c>
      <c r="O12" s="24">
        <f>O10</f>
        <v>1</v>
      </c>
      <c r="P12" s="24">
        <f>P10</f>
        <v>20.3125</v>
      </c>
      <c r="Q12" s="24">
        <f>Q10</f>
        <v>169.04062500000001</v>
      </c>
      <c r="R12" s="24">
        <v>0</v>
      </c>
      <c r="S12" s="24">
        <f>'wood and waste'!C111</f>
        <v>190.08674547549936</v>
      </c>
      <c r="T12" s="24">
        <f>'wood and waste'!D111</f>
        <v>252.56778199820346</v>
      </c>
      <c r="U12" s="24">
        <v>0</v>
      </c>
      <c r="V12" s="24">
        <f>'wood and waste'!C119</f>
        <v>1.532964144697982</v>
      </c>
      <c r="W12" s="24">
        <f>'wood and waste'!G119</f>
        <v>18.128833975198337</v>
      </c>
      <c r="X12" s="24">
        <v>0</v>
      </c>
      <c r="Y12" s="24">
        <f>'wood and waste'!C127</f>
        <v>1.3623849509558801</v>
      </c>
      <c r="Z12" s="24">
        <f>'wood and waste'!G127</f>
        <v>19.691912081116293</v>
      </c>
      <c r="AA12" s="124">
        <v>0</v>
      </c>
      <c r="AB12" s="24">
        <f>'wood and waste'!D146</f>
        <v>5.5098771610320325</v>
      </c>
      <c r="AC12" s="24">
        <f>'wood and waste'!E146</f>
        <v>46.323782057565609</v>
      </c>
      <c r="AD12" s="24">
        <f>'roof solar'!C85</f>
        <v>19250.077708438435</v>
      </c>
      <c r="AE12" s="24">
        <f>'roof solar'!D85</f>
        <v>38.500155416876872</v>
      </c>
      <c r="AF12" s="24">
        <f>'roof solar'!E85</f>
        <v>36.921649044784921</v>
      </c>
      <c r="AG12" s="24">
        <f>'roof solar'!F85+'roof solar'!I85+'roof solar'!L85</f>
        <v>3446.3042724271968</v>
      </c>
      <c r="AH12" s="24">
        <f>'roof solar'!G85+'roof solar'!J85+'roof solar'!M85</f>
        <v>20.194172185528323</v>
      </c>
      <c r="AI12" s="24">
        <f>'roof solar'!H85+'roof solar'!K85+'roof solar'!N85</f>
        <v>19.366211125921666</v>
      </c>
      <c r="AJ12" s="24">
        <f>'roof solar'!C78</f>
        <v>16441.627708438435</v>
      </c>
      <c r="AK12" s="24">
        <f>'roof solar'!D78</f>
        <v>32.883255416876871</v>
      </c>
      <c r="AL12" s="24">
        <f>'roof solar'!E78</f>
        <v>23.044585396147308</v>
      </c>
      <c r="AM12" s="24">
        <f>'roof solar'!F78</f>
        <v>442.53016467846822</v>
      </c>
      <c r="AN12" s="24">
        <f>'roof solar'!G78</f>
        <v>4.425301646784682</v>
      </c>
      <c r="AO12" s="24">
        <f>'roof solar'!H78</f>
        <v>3.1012513940667055</v>
      </c>
      <c r="AP12" s="24">
        <f>'space heating'!C69</f>
        <v>28946.904194810311</v>
      </c>
      <c r="AQ12" s="24">
        <f>'space heating'!D69</f>
        <v>289.4690419481031</v>
      </c>
      <c r="AR12" s="24">
        <f>'space heating'!E69</f>
        <v>316.96860093317292</v>
      </c>
      <c r="AS12" s="24">
        <f>'space heating'!F69+'space heating'!I69</f>
        <v>135.31627058480854</v>
      </c>
      <c r="AT12" s="24">
        <f>'space heating'!G69+'space heating'!J69</f>
        <v>56.274542969157558</v>
      </c>
      <c r="AU12" s="24">
        <f>'space heating'!H69+'space heating'!K69</f>
        <v>189.0667901690083</v>
      </c>
      <c r="AV12" s="24">
        <f>'space heating'!C76</f>
        <v>19972.109812856546</v>
      </c>
      <c r="AW12" s="24">
        <f>'space heating'!D76</f>
        <v>199.72109812856547</v>
      </c>
      <c r="AX12" s="24">
        <f>'space heating'!E76</f>
        <v>227.44238654881039</v>
      </c>
      <c r="AY12" s="24">
        <f>'space heating'!F76</f>
        <v>726.44352693718213</v>
      </c>
      <c r="AZ12" s="24">
        <f>'space heating'!G76</f>
        <v>39.954393981545017</v>
      </c>
      <c r="BA12" s="24">
        <f>'space heating'!H76</f>
        <v>122.500171947417</v>
      </c>
      <c r="BB12" s="24">
        <f>'micro wind'!L78</f>
        <v>3260.0160287442986</v>
      </c>
      <c r="BC12" s="24">
        <f>'micro wind'!M79</f>
        <v>193.57800503087975</v>
      </c>
      <c r="BD12" s="24">
        <f>'micro wind'!N79</f>
        <v>289.46577236234799</v>
      </c>
      <c r="BE12" s="125">
        <v>0</v>
      </c>
      <c r="BF12" s="125">
        <v>0</v>
      </c>
      <c r="BG12" s="125">
        <v>0</v>
      </c>
      <c r="BH12" s="125">
        <v>0</v>
      </c>
      <c r="BI12" s="125">
        <v>0</v>
      </c>
      <c r="BJ12" s="125">
        <v>0</v>
      </c>
      <c r="BK12" s="125">
        <v>0</v>
      </c>
      <c r="BL12" s="125">
        <v>0</v>
      </c>
      <c r="BM12" s="125">
        <v>0</v>
      </c>
    </row>
    <row r="13" spans="1:65">
      <c r="BE13" s="125"/>
      <c r="BF13" s="125"/>
      <c r="BG13" s="125"/>
      <c r="BH13" s="125"/>
    </row>
    <row r="17" spans="51:53">
      <c r="AY17" s="24"/>
      <c r="AZ17" s="24"/>
      <c r="BA17" s="24"/>
    </row>
    <row r="74" spans="3:5">
      <c r="C74" s="24"/>
      <c r="D74" s="24"/>
      <c r="E74" s="24"/>
    </row>
    <row r="75" spans="3:5">
      <c r="C75" s="24"/>
      <c r="D75" s="24"/>
      <c r="E75" s="24"/>
    </row>
    <row r="76" spans="3:5">
      <c r="C76" s="24"/>
      <c r="D76" s="24"/>
      <c r="E76" s="24"/>
    </row>
    <row r="77" spans="3:5">
      <c r="C77" s="24"/>
      <c r="D77" s="24"/>
      <c r="E77" s="24"/>
    </row>
    <row r="78" spans="3:5">
      <c r="C78" s="24"/>
      <c r="D78" s="24"/>
      <c r="E78" s="24"/>
    </row>
    <row r="79" spans="3:5">
      <c r="C79" s="24"/>
      <c r="D79" s="24"/>
      <c r="E79" s="24"/>
    </row>
    <row r="80" spans="3:5">
      <c r="C80" s="24"/>
      <c r="D80" s="24"/>
      <c r="E80" s="24"/>
    </row>
    <row r="81" spans="3:5">
      <c r="C81" s="24"/>
      <c r="D81" s="24"/>
      <c r="E81" s="24"/>
    </row>
    <row r="82" spans="3:5">
      <c r="C82" s="24"/>
      <c r="D82" s="24"/>
      <c r="E82" s="24"/>
    </row>
    <row r="83" spans="3:5">
      <c r="C83" s="24"/>
      <c r="D83" s="24"/>
      <c r="E83" s="24"/>
    </row>
    <row r="84" spans="3:5">
      <c r="C84" s="24"/>
      <c r="D84" s="24"/>
      <c r="E84" s="24"/>
    </row>
    <row r="85" spans="3:5">
      <c r="C85" s="24"/>
      <c r="D85" s="24"/>
      <c r="E85" s="24"/>
    </row>
    <row r="86" spans="3:5">
      <c r="C86" s="24"/>
      <c r="D86" s="24"/>
      <c r="E86" s="24"/>
    </row>
    <row r="87" spans="3:5">
      <c r="C87" s="24"/>
      <c r="D87" s="24"/>
      <c r="E87" s="24"/>
    </row>
    <row r="88" spans="3:5">
      <c r="C88" s="24"/>
      <c r="D88" s="24"/>
      <c r="E88" s="24"/>
    </row>
    <row r="89" spans="3:5">
      <c r="C89" s="24"/>
      <c r="D89" s="24"/>
      <c r="E89" s="24"/>
    </row>
    <row r="90" spans="3:5">
      <c r="C90" s="24"/>
      <c r="D90" s="24"/>
      <c r="E90" s="24"/>
    </row>
    <row r="91" spans="3:5">
      <c r="C91" s="24"/>
      <c r="D91" s="24"/>
      <c r="E91" s="24"/>
    </row>
    <row r="92" spans="3:5">
      <c r="C92" s="24"/>
      <c r="D92" s="24"/>
      <c r="E92" s="24"/>
    </row>
    <row r="93" spans="3:5">
      <c r="C93" s="24"/>
      <c r="D93" s="24"/>
      <c r="E93" s="24"/>
    </row>
    <row r="94" spans="3:5">
      <c r="C94" s="24"/>
      <c r="D94" s="24"/>
      <c r="E94" s="24"/>
    </row>
    <row r="95" spans="3:5">
      <c r="C95" s="24"/>
      <c r="D95" s="24"/>
      <c r="E95" s="24"/>
    </row>
    <row r="96" spans="3:5">
      <c r="C96" s="24"/>
      <c r="D96" s="24"/>
      <c r="E96" s="24"/>
    </row>
    <row r="97" spans="3:5">
      <c r="C97" s="24"/>
      <c r="D97" s="24"/>
      <c r="E97" s="24"/>
    </row>
    <row r="98" spans="3:5">
      <c r="C98" s="24"/>
      <c r="D98" s="24"/>
      <c r="E98" s="24"/>
    </row>
    <row r="99" spans="3:5">
      <c r="C99" s="24"/>
      <c r="D99" s="24"/>
      <c r="E99" s="24"/>
    </row>
    <row r="100" spans="3:5">
      <c r="C100" s="24"/>
      <c r="D100" s="24"/>
      <c r="E100" s="24"/>
    </row>
    <row r="101" spans="3:5">
      <c r="C101" s="24"/>
      <c r="D101" s="24"/>
      <c r="E101" s="24"/>
    </row>
    <row r="102" spans="3:5">
      <c r="C102" s="24"/>
      <c r="D102" s="24"/>
      <c r="E102" s="24"/>
    </row>
    <row r="103" spans="3:5">
      <c r="C103" s="24"/>
      <c r="D103" s="24"/>
      <c r="E103" s="24"/>
    </row>
    <row r="104" spans="3:5">
      <c r="C104" s="24"/>
      <c r="D104" s="24"/>
      <c r="E104" s="24"/>
    </row>
    <row r="105" spans="3:5">
      <c r="C105" s="24"/>
      <c r="D105" s="24"/>
      <c r="E105" s="24"/>
    </row>
    <row r="106" spans="3:5">
      <c r="C106" s="24"/>
      <c r="D106" s="24"/>
      <c r="E106" s="24"/>
    </row>
    <row r="107" spans="3:5">
      <c r="C107" s="24"/>
      <c r="D107" s="24"/>
      <c r="E107" s="24"/>
    </row>
    <row r="108" spans="3:5">
      <c r="C108" s="24"/>
      <c r="D108" s="24"/>
      <c r="E108" s="24"/>
    </row>
    <row r="109" spans="3:5">
      <c r="C109" s="24"/>
      <c r="D109" s="24"/>
      <c r="E109" s="24"/>
    </row>
    <row r="110" spans="3:5">
      <c r="C110" s="24"/>
      <c r="D110" s="24"/>
      <c r="E110" s="24"/>
    </row>
    <row r="111" spans="3:5">
      <c r="C111" s="24"/>
      <c r="D111" s="24"/>
      <c r="E111" s="24"/>
    </row>
    <row r="112" spans="3:5">
      <c r="C112" s="24"/>
      <c r="D112" s="24"/>
      <c r="E112" s="24"/>
    </row>
    <row r="113" spans="3:5">
      <c r="C113" s="24"/>
      <c r="D113" s="24"/>
      <c r="E113" s="24"/>
    </row>
    <row r="114" spans="3:5">
      <c r="C114" s="24"/>
      <c r="D114" s="24"/>
      <c r="E114" s="24"/>
    </row>
    <row r="115" spans="3:5">
      <c r="C115" s="24"/>
      <c r="D115" s="24"/>
      <c r="E115" s="24"/>
    </row>
    <row r="116" spans="3:5">
      <c r="C116" s="24"/>
      <c r="D116" s="24"/>
      <c r="E116" s="24"/>
    </row>
    <row r="117" spans="3:5">
      <c r="C117" s="24"/>
      <c r="D117" s="24"/>
      <c r="E117" s="24"/>
    </row>
    <row r="118" spans="3:5">
      <c r="C118" s="24"/>
      <c r="D118" s="24"/>
      <c r="E118" s="24"/>
    </row>
    <row r="119" spans="3:5">
      <c r="C119" s="24"/>
      <c r="D119" s="24"/>
      <c r="E119" s="24"/>
    </row>
    <row r="120" spans="3:5">
      <c r="C120" s="24"/>
      <c r="D120" s="24"/>
      <c r="E120" s="24"/>
    </row>
    <row r="121" spans="3:5">
      <c r="C121" s="24"/>
      <c r="D121" s="24"/>
      <c r="E121" s="24"/>
    </row>
    <row r="122" spans="3:5">
      <c r="C122" s="24"/>
      <c r="D122" s="24"/>
      <c r="E122" s="24"/>
    </row>
    <row r="123" spans="3:5">
      <c r="C123" s="24"/>
      <c r="D123" s="24"/>
      <c r="E123" s="24"/>
    </row>
    <row r="124" spans="3:5">
      <c r="C124" s="24"/>
      <c r="D124" s="24"/>
      <c r="E124" s="24"/>
    </row>
    <row r="125" spans="3:5">
      <c r="C125" s="24"/>
      <c r="D125" s="24"/>
      <c r="E125" s="24"/>
    </row>
    <row r="126" spans="3:5">
      <c r="C126" s="24"/>
      <c r="D126" s="24"/>
      <c r="E126" s="24"/>
    </row>
    <row r="127" spans="3:5">
      <c r="C127" s="24"/>
      <c r="D127" s="24"/>
      <c r="E127" s="24"/>
    </row>
    <row r="128" spans="3:5">
      <c r="C128" s="24"/>
      <c r="D128" s="24"/>
      <c r="E128" s="24"/>
    </row>
    <row r="129" spans="3:5">
      <c r="C129" s="24"/>
      <c r="D129" s="24"/>
      <c r="E129" s="24"/>
    </row>
    <row r="130" spans="3:5">
      <c r="C130" s="24"/>
      <c r="D130" s="24"/>
      <c r="E130" s="24"/>
    </row>
    <row r="131" spans="3:5">
      <c r="C131" s="24"/>
      <c r="D131" s="24"/>
      <c r="E131" s="24"/>
    </row>
    <row r="132" spans="3:5">
      <c r="C132" s="24"/>
      <c r="D132" s="24"/>
      <c r="E132" s="24"/>
    </row>
    <row r="133" spans="3:5">
      <c r="C133" s="24"/>
      <c r="D133" s="24"/>
      <c r="E133" s="24"/>
    </row>
    <row r="134" spans="3:5">
      <c r="C134" s="24"/>
      <c r="D134" s="24"/>
      <c r="E134" s="24"/>
    </row>
    <row r="135" spans="3:5">
      <c r="C135" s="24"/>
      <c r="D135" s="24"/>
      <c r="E135" s="24"/>
    </row>
    <row r="136" spans="3:5">
      <c r="C136" s="24"/>
      <c r="D136" s="24"/>
      <c r="E136" s="24"/>
    </row>
    <row r="137" spans="3:5">
      <c r="C137" s="24"/>
      <c r="D137" s="24"/>
      <c r="E137" s="24"/>
    </row>
    <row r="138" spans="3:5">
      <c r="C138" s="24"/>
      <c r="D138" s="24"/>
      <c r="E138" s="24"/>
    </row>
    <row r="139" spans="3:5">
      <c r="C139" s="24"/>
      <c r="D139" s="24"/>
      <c r="E139" s="24"/>
    </row>
    <row r="140" spans="3:5">
      <c r="C140" s="24"/>
      <c r="D140" s="24"/>
      <c r="E140" s="24"/>
    </row>
    <row r="141" spans="3:5">
      <c r="C141" s="24"/>
      <c r="D141" s="24"/>
      <c r="E141" s="24"/>
    </row>
    <row r="142" spans="3:5">
      <c r="C142" s="24"/>
      <c r="D142" s="24"/>
      <c r="E142" s="24"/>
    </row>
    <row r="143" spans="3:5">
      <c r="C143" s="24"/>
      <c r="D143" s="24"/>
      <c r="E143" s="24"/>
    </row>
    <row r="144" spans="3:5">
      <c r="C144" s="24"/>
      <c r="D144" s="24"/>
      <c r="E144" s="24"/>
    </row>
    <row r="145" spans="3:5">
      <c r="C145" s="24"/>
      <c r="D145" s="24"/>
      <c r="E145" s="24"/>
    </row>
    <row r="146" spans="3:5">
      <c r="C146" s="24"/>
      <c r="D146" s="24"/>
      <c r="E146" s="24"/>
    </row>
    <row r="147" spans="3:5">
      <c r="C147" s="24"/>
      <c r="D147" s="24"/>
      <c r="E147" s="24"/>
    </row>
    <row r="148" spans="3:5">
      <c r="C148" s="24"/>
      <c r="D148" s="24"/>
      <c r="E148" s="24"/>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FFFF00"/>
  </sheetPr>
  <dimension ref="B2:Y38"/>
  <sheetViews>
    <sheetView topLeftCell="A10" workbookViewId="0">
      <selection activeCell="C35" sqref="C35"/>
    </sheetView>
  </sheetViews>
  <sheetFormatPr defaultRowHeight="15"/>
  <sheetData>
    <row r="2" spans="2:25">
      <c r="B2" s="4" t="s">
        <v>1188</v>
      </c>
    </row>
    <row r="3" spans="2:25">
      <c r="B3" t="s">
        <v>1189</v>
      </c>
    </row>
    <row r="4" spans="2:25">
      <c r="B4" t="s">
        <v>557</v>
      </c>
      <c r="C4" s="21" t="s">
        <v>1167</v>
      </c>
      <c r="D4" s="21" t="s">
        <v>1168</v>
      </c>
      <c r="E4" s="21" t="s">
        <v>1169</v>
      </c>
      <c r="F4" s="21" t="s">
        <v>1170</v>
      </c>
      <c r="G4" s="21" t="s">
        <v>1171</v>
      </c>
      <c r="H4" s="21" t="s">
        <v>1172</v>
      </c>
      <c r="I4" s="21" t="s">
        <v>1173</v>
      </c>
      <c r="J4" s="21" t="s">
        <v>1174</v>
      </c>
      <c r="K4" s="21" t="s">
        <v>1175</v>
      </c>
      <c r="L4" s="21" t="s">
        <v>1176</v>
      </c>
      <c r="M4" s="21" t="s">
        <v>1177</v>
      </c>
      <c r="N4" s="21" t="s">
        <v>1178</v>
      </c>
      <c r="O4" s="21" t="s">
        <v>1179</v>
      </c>
      <c r="P4" s="21" t="s">
        <v>1180</v>
      </c>
      <c r="Q4" s="21" t="s">
        <v>1181</v>
      </c>
      <c r="R4" s="21" t="s">
        <v>1182</v>
      </c>
      <c r="S4" s="21" t="s">
        <v>1183</v>
      </c>
      <c r="T4" s="21" t="s">
        <v>1184</v>
      </c>
      <c r="U4" s="21" t="s">
        <v>1185</v>
      </c>
      <c r="V4" s="21" t="s">
        <v>1186</v>
      </c>
      <c r="W4" s="21"/>
      <c r="X4" s="21"/>
      <c r="Y4" s="21"/>
    </row>
    <row r="5" spans="2:25">
      <c r="B5" t="s">
        <v>59</v>
      </c>
      <c r="C5" s="21">
        <v>356.70438762203617</v>
      </c>
      <c r="D5" s="21">
        <v>18.369751158231445</v>
      </c>
      <c r="E5" s="21">
        <v>117.01794135001578</v>
      </c>
      <c r="F5" s="21">
        <v>2.4417170282327603</v>
      </c>
      <c r="G5" s="21">
        <v>8.7066928783351294</v>
      </c>
      <c r="H5" s="21">
        <v>13.798211453309744</v>
      </c>
      <c r="I5" s="21">
        <v>41.815917487684658</v>
      </c>
      <c r="J5" s="21">
        <v>26.846377490032257</v>
      </c>
      <c r="K5" s="21">
        <v>84.392704095247026</v>
      </c>
      <c r="L5" s="21">
        <v>25.380275895821203</v>
      </c>
      <c r="M5" s="21">
        <v>0.84037852106673594</v>
      </c>
      <c r="N5" s="21">
        <v>10.191011085675001</v>
      </c>
      <c r="O5" s="21">
        <v>8.1563197201269926</v>
      </c>
      <c r="P5" s="21">
        <v>1.1907634678565735</v>
      </c>
      <c r="Q5" s="21">
        <v>3.1896658192858558</v>
      </c>
      <c r="R5" s="21">
        <v>1.5627533201354595</v>
      </c>
      <c r="S5" s="21">
        <v>3.7016726068320924</v>
      </c>
      <c r="T5" s="21">
        <v>3.235044453069877</v>
      </c>
      <c r="U5" s="21">
        <v>4.1387032158409482</v>
      </c>
      <c r="V5" s="21">
        <v>38.412504310344829</v>
      </c>
      <c r="W5" s="21"/>
      <c r="X5" s="21"/>
      <c r="Y5" s="21"/>
    </row>
    <row r="6" spans="2:25">
      <c r="B6" t="s">
        <v>61</v>
      </c>
      <c r="C6" s="21">
        <v>243.33457703377766</v>
      </c>
      <c r="D6" s="21">
        <v>13.609732389726462</v>
      </c>
      <c r="E6" s="21">
        <v>81.188076604480486</v>
      </c>
      <c r="F6" s="21">
        <v>1.6354157829827605</v>
      </c>
      <c r="G6" s="21">
        <v>5.310799480964441</v>
      </c>
      <c r="H6" s="21">
        <v>9.0733225186705617</v>
      </c>
      <c r="I6" s="21">
        <v>24.911071428571415</v>
      </c>
      <c r="J6" s="21">
        <v>15.993240551269663</v>
      </c>
      <c r="K6" s="21">
        <v>50.275416780850186</v>
      </c>
      <c r="L6" s="21">
        <v>15.119837224054534</v>
      </c>
      <c r="M6" s="21">
        <v>0.50064020170061307</v>
      </c>
      <c r="N6" s="21">
        <v>6.0711092889300007</v>
      </c>
      <c r="O6" s="21">
        <v>4.8589789570488042</v>
      </c>
      <c r="P6" s="21">
        <v>0.70937565368605571</v>
      </c>
      <c r="Q6" s="21">
        <v>1.9001853320784858</v>
      </c>
      <c r="R6" s="21">
        <v>0.93098183471872598</v>
      </c>
      <c r="S6" s="21">
        <v>2.2052040527662258</v>
      </c>
      <c r="T6" s="21">
        <v>1.927218826868063</v>
      </c>
      <c r="U6" s="21">
        <v>2.4655570803112505</v>
      </c>
      <c r="V6" s="21">
        <v>22.072275000000005</v>
      </c>
      <c r="W6" s="21"/>
      <c r="X6" s="21"/>
      <c r="Y6" s="21"/>
    </row>
    <row r="7" spans="2:25">
      <c r="B7" t="s">
        <v>227</v>
      </c>
      <c r="C7" s="21">
        <v>164.99295768930878</v>
      </c>
      <c r="D7" s="21">
        <v>7.2105608119699518</v>
      </c>
      <c r="E7" s="21">
        <v>49.611484839234485</v>
      </c>
      <c r="F7" s="21">
        <v>1.1898695497887926</v>
      </c>
      <c r="G7" s="21">
        <v>3.137619864105607</v>
      </c>
      <c r="H7" s="21">
        <v>6.0740594235938268</v>
      </c>
      <c r="I7" s="21">
        <v>14.510923645320196</v>
      </c>
      <c r="J7" s="21">
        <v>9.3162067776231989</v>
      </c>
      <c r="K7" s="21">
        <v>29.285883436825088</v>
      </c>
      <c r="L7" s="21">
        <v>8.8074414672419898</v>
      </c>
      <c r="M7" s="21">
        <v>0.29162743005598257</v>
      </c>
      <c r="N7" s="21">
        <v>3.5364758832900001</v>
      </c>
      <c r="O7" s="21">
        <v>2.8303990393237051</v>
      </c>
      <c r="P7" s="21">
        <v>0.41321771229322701</v>
      </c>
      <c r="Q7" s="21">
        <v>1.1068750834266929</v>
      </c>
      <c r="R7" s="21">
        <v>0.54230531021195261</v>
      </c>
      <c r="S7" s="21">
        <v>1.2845512375409067</v>
      </c>
      <c r="T7" s="21">
        <v>1.1226223378104525</v>
      </c>
      <c r="U7" s="21">
        <v>1.4362092228012562</v>
      </c>
      <c r="V7" s="21">
        <v>12.922481896551725</v>
      </c>
      <c r="W7" s="21"/>
      <c r="X7" s="21"/>
      <c r="Y7" s="21"/>
    </row>
    <row r="8" spans="2:25">
      <c r="B8" t="s">
        <v>1187</v>
      </c>
      <c r="C8" s="21">
        <v>662.64400934932871</v>
      </c>
      <c r="D8" s="21">
        <v>34.734057065618451</v>
      </c>
      <c r="E8" s="21">
        <v>220.38938317115503</v>
      </c>
      <c r="F8" s="21">
        <v>4.7514447601681065</v>
      </c>
      <c r="G8" s="21">
        <v>15.394705066282331</v>
      </c>
      <c r="H8" s="21">
        <v>25.576484238472432</v>
      </c>
      <c r="I8" s="21">
        <v>72.962241379310257</v>
      </c>
      <c r="J8" s="21">
        <v>46.842733396073356</v>
      </c>
      <c r="K8" s="21">
        <v>147.25208047063839</v>
      </c>
      <c r="L8" s="21">
        <v>44.284615225894349</v>
      </c>
      <c r="M8" s="21">
        <v>1.4663291920383492</v>
      </c>
      <c r="N8" s="21">
        <v>17.78172177978</v>
      </c>
      <c r="O8" s="21">
        <v>14.231503311197212</v>
      </c>
      <c r="P8" s="21">
        <v>2.0776961690007965</v>
      </c>
      <c r="Q8" s="21">
        <v>5.5654684007497996</v>
      </c>
      <c r="R8" s="21">
        <v>2.7267603298103609</v>
      </c>
      <c r="S8" s="21">
        <v>6.4588402329425501</v>
      </c>
      <c r="T8" s="21">
        <v>5.6446470253151499</v>
      </c>
      <c r="U8" s="21">
        <v>7.2213903502284404</v>
      </c>
      <c r="V8" s="21">
        <v>66.204455172413802</v>
      </c>
      <c r="W8" s="21"/>
      <c r="X8" s="21"/>
      <c r="Y8" s="21"/>
    </row>
    <row r="9" spans="2:25">
      <c r="C9" s="21"/>
      <c r="D9" s="21"/>
      <c r="E9" s="21"/>
      <c r="F9" s="21"/>
      <c r="G9" s="21"/>
      <c r="H9" s="21"/>
      <c r="I9" s="21"/>
      <c r="J9" s="21"/>
      <c r="K9" s="21"/>
      <c r="L9" s="21"/>
      <c r="M9" s="21"/>
      <c r="N9" s="21"/>
      <c r="O9" s="21"/>
      <c r="P9" s="21"/>
      <c r="Q9" s="21"/>
      <c r="R9" s="21"/>
      <c r="S9" s="21"/>
      <c r="T9" s="21"/>
      <c r="U9" s="21"/>
      <c r="V9" s="21"/>
      <c r="W9" s="21"/>
      <c r="X9" s="21"/>
      <c r="Y9" s="21"/>
    </row>
    <row r="10" spans="2:25">
      <c r="C10" s="21"/>
      <c r="D10" s="21"/>
      <c r="E10" s="21"/>
      <c r="F10" s="21"/>
      <c r="G10" s="21"/>
      <c r="H10" s="21"/>
      <c r="I10" s="21"/>
      <c r="J10" s="21"/>
      <c r="K10" s="21"/>
      <c r="L10" s="21"/>
      <c r="M10" s="21"/>
      <c r="N10" s="21"/>
      <c r="O10" s="21"/>
      <c r="P10" s="21"/>
      <c r="Q10" s="21"/>
      <c r="R10" s="21"/>
      <c r="S10" s="21"/>
      <c r="T10" s="21"/>
      <c r="U10" s="21"/>
      <c r="V10" s="21"/>
      <c r="W10" s="21"/>
      <c r="X10" s="21"/>
      <c r="Y10" s="21"/>
    </row>
    <row r="11" spans="2:25">
      <c r="B11" s="4" t="s">
        <v>1200</v>
      </c>
      <c r="C11" s="21"/>
      <c r="D11" s="21"/>
      <c r="E11" s="21"/>
      <c r="F11" s="21"/>
      <c r="G11" s="21"/>
      <c r="H11" s="21"/>
      <c r="I11" s="21"/>
      <c r="J11" s="21"/>
      <c r="K11" s="21"/>
      <c r="L11" s="21"/>
      <c r="M11" s="21"/>
      <c r="N11" s="21"/>
      <c r="O11" s="21"/>
      <c r="P11" s="21"/>
      <c r="Q11" s="21"/>
      <c r="R11" s="21"/>
      <c r="S11" s="21"/>
      <c r="T11" s="21"/>
      <c r="U11" s="21"/>
      <c r="V11" s="21"/>
      <c r="W11" s="21"/>
      <c r="X11" s="21"/>
      <c r="Y11" s="21"/>
    </row>
    <row r="12" spans="2:25">
      <c r="B12" t="s">
        <v>1192</v>
      </c>
      <c r="C12" s="21"/>
      <c r="D12" s="21"/>
      <c r="E12" s="21"/>
      <c r="F12" s="21"/>
      <c r="G12" s="21"/>
      <c r="H12" s="21"/>
      <c r="I12" s="21"/>
      <c r="J12" s="21"/>
      <c r="K12" s="21"/>
      <c r="L12" s="21"/>
      <c r="M12" s="21"/>
      <c r="N12" s="21"/>
      <c r="O12" s="21"/>
      <c r="P12" s="21"/>
      <c r="Q12" s="21"/>
      <c r="R12" s="21"/>
      <c r="S12" s="21"/>
      <c r="T12" s="21"/>
      <c r="U12" s="21"/>
      <c r="V12" s="21"/>
      <c r="W12" s="21"/>
      <c r="X12" s="21"/>
      <c r="Y12" s="21"/>
    </row>
    <row r="13" spans="2:25">
      <c r="B13" t="s">
        <v>557</v>
      </c>
      <c r="C13" s="21" t="s">
        <v>1167</v>
      </c>
      <c r="D13" s="21" t="s">
        <v>1190</v>
      </c>
      <c r="E13" s="21" t="s">
        <v>1191</v>
      </c>
      <c r="F13" s="21"/>
      <c r="G13" s="21"/>
      <c r="H13" s="21"/>
      <c r="I13" s="21"/>
      <c r="J13" s="21"/>
      <c r="K13" s="21"/>
      <c r="L13" s="21"/>
      <c r="M13" s="21"/>
      <c r="N13" s="21"/>
      <c r="O13" s="21"/>
      <c r="P13" s="21"/>
      <c r="Q13" s="21"/>
      <c r="R13" s="21"/>
      <c r="S13" s="21"/>
      <c r="T13" s="21"/>
      <c r="U13" s="21"/>
      <c r="V13" s="21"/>
      <c r="W13" s="21"/>
      <c r="X13" s="21"/>
      <c r="Y13" s="21"/>
    </row>
    <row r="14" spans="2:25">
      <c r="B14" t="s">
        <v>59</v>
      </c>
      <c r="C14" s="21">
        <v>530.73375310592166</v>
      </c>
      <c r="D14" s="21">
        <v>83.150832111255568</v>
      </c>
      <c r="E14" s="21">
        <v>132.68343827648039</v>
      </c>
      <c r="F14" s="21"/>
      <c r="G14" s="21"/>
      <c r="H14" s="21"/>
      <c r="I14" s="21"/>
      <c r="J14" s="21"/>
      <c r="K14" s="21"/>
      <c r="L14" s="21"/>
      <c r="M14" s="21"/>
      <c r="N14" s="21"/>
      <c r="O14" s="21"/>
      <c r="P14" s="21"/>
      <c r="Q14" s="21"/>
      <c r="R14" s="21"/>
      <c r="S14" s="21"/>
      <c r="T14" s="21"/>
      <c r="U14" s="21"/>
      <c r="V14" s="21"/>
      <c r="W14" s="21"/>
      <c r="X14" s="21"/>
      <c r="Y14" s="21"/>
    </row>
    <row r="15" spans="2:25">
      <c r="B15" t="s">
        <v>61</v>
      </c>
      <c r="C15" s="21">
        <v>337.20441753472107</v>
      </c>
      <c r="D15" s="21">
        <v>59.790037795771525</v>
      </c>
      <c r="E15" s="21">
        <v>84.30110438368024</v>
      </c>
      <c r="F15" s="21"/>
      <c r="G15" s="21"/>
      <c r="H15" s="21"/>
      <c r="I15" s="21"/>
      <c r="J15" s="21"/>
      <c r="K15" s="21"/>
      <c r="L15" s="21"/>
      <c r="M15" s="21"/>
      <c r="N15" s="21"/>
      <c r="O15" s="21"/>
      <c r="P15" s="21"/>
      <c r="Q15" s="21"/>
      <c r="R15" s="21"/>
      <c r="S15" s="21"/>
      <c r="T15" s="21"/>
      <c r="U15" s="21"/>
      <c r="V15" s="21"/>
      <c r="W15" s="21"/>
      <c r="X15" s="21"/>
      <c r="Y15" s="21"/>
    </row>
    <row r="16" spans="2:25">
      <c r="B16" t="s">
        <v>227</v>
      </c>
      <c r="C16" s="21">
        <v>146.19738798505799</v>
      </c>
      <c r="D16" s="21">
        <v>23.374015908007323</v>
      </c>
      <c r="E16" s="21">
        <v>36.549346996264489</v>
      </c>
      <c r="F16" s="21"/>
      <c r="G16" s="21"/>
      <c r="H16" s="21"/>
      <c r="I16" s="21"/>
      <c r="J16" s="21"/>
      <c r="K16" s="21"/>
      <c r="L16" s="21"/>
      <c r="M16" s="21"/>
      <c r="N16" s="21"/>
      <c r="O16" s="21"/>
      <c r="P16" s="21"/>
      <c r="Q16" s="21"/>
      <c r="R16" s="21"/>
      <c r="S16" s="21"/>
      <c r="T16" s="21"/>
      <c r="U16" s="21"/>
      <c r="V16" s="21"/>
      <c r="W16" s="21"/>
      <c r="X16" s="21"/>
      <c r="Y16" s="21"/>
    </row>
    <row r="17" spans="2:25">
      <c r="B17" t="s">
        <v>1187</v>
      </c>
      <c r="C17" s="21">
        <v>932.90649588738052</v>
      </c>
      <c r="D17" s="21">
        <v>153.80583244450372</v>
      </c>
      <c r="E17" s="21">
        <v>233.22662397184513</v>
      </c>
      <c r="F17" s="21"/>
      <c r="G17" s="21"/>
      <c r="H17" s="21"/>
      <c r="I17" s="21"/>
      <c r="J17" s="21"/>
      <c r="K17" s="21"/>
      <c r="L17" s="21"/>
      <c r="M17" s="21"/>
      <c r="N17" s="21"/>
      <c r="O17" s="21"/>
      <c r="P17" s="21"/>
      <c r="Q17" s="21"/>
      <c r="R17" s="21"/>
      <c r="S17" s="21"/>
      <c r="T17" s="21"/>
      <c r="U17" s="21"/>
      <c r="V17" s="21"/>
      <c r="W17" s="21"/>
      <c r="X17" s="21"/>
      <c r="Y17" s="21"/>
    </row>
    <row r="19" spans="2:25">
      <c r="B19" s="4" t="s">
        <v>1199</v>
      </c>
    </row>
    <row r="20" spans="2:25">
      <c r="B20" t="s">
        <v>1202</v>
      </c>
    </row>
    <row r="21" spans="2:25">
      <c r="B21" t="s">
        <v>557</v>
      </c>
      <c r="C21" s="21" t="s">
        <v>1167</v>
      </c>
      <c r="D21" s="21" t="s">
        <v>1193</v>
      </c>
      <c r="E21" s="21" t="s">
        <v>1194</v>
      </c>
      <c r="F21" s="21" t="s">
        <v>1195</v>
      </c>
      <c r="G21" s="21" t="s">
        <v>1196</v>
      </c>
      <c r="H21" s="21" t="s">
        <v>1197</v>
      </c>
      <c r="I21" s="21" t="s">
        <v>1198</v>
      </c>
    </row>
    <row r="22" spans="2:25">
      <c r="B22" t="s">
        <v>59</v>
      </c>
      <c r="C22" s="21">
        <v>679.5889787666473</v>
      </c>
      <c r="D22" s="21">
        <v>94.13265697755071</v>
      </c>
      <c r="E22" s="21">
        <v>3.4210878129675848</v>
      </c>
      <c r="F22" s="21">
        <v>3.0719972198075993</v>
      </c>
      <c r="G22" s="21">
        <v>2.3139719318031666</v>
      </c>
      <c r="H22" s="21">
        <v>10.637880716623613</v>
      </c>
      <c r="I22" s="21">
        <v>11.239768019123858</v>
      </c>
    </row>
    <row r="23" spans="2:25">
      <c r="B23" t="s">
        <v>61</v>
      </c>
      <c r="C23" s="21">
        <v>572.21824324028614</v>
      </c>
      <c r="D23" s="21">
        <v>79.291267221478279</v>
      </c>
      <c r="E23" s="21">
        <v>2.8817032969848242</v>
      </c>
      <c r="F23" s="21">
        <v>2.5876519401497262</v>
      </c>
      <c r="G23" s="21">
        <v>1.9491404224503412</v>
      </c>
      <c r="H23" s="21">
        <v>8.6314301199746524</v>
      </c>
      <c r="I23" s="21">
        <v>10.02048365130895</v>
      </c>
    </row>
    <row r="24" spans="2:25">
      <c r="B24" t="s">
        <v>227</v>
      </c>
      <c r="C24" s="21">
        <v>355.42368732906465</v>
      </c>
      <c r="D24" s="21">
        <v>49.3213009269964</v>
      </c>
      <c r="E24" s="21">
        <v>1.7924969605531942</v>
      </c>
      <c r="F24" s="21">
        <v>1.6095891074355109</v>
      </c>
      <c r="G24" s="21">
        <v>1.2124177692371063</v>
      </c>
      <c r="H24" s="21">
        <v>5.7441131853730667</v>
      </c>
      <c r="I24" s="21">
        <v>6.3693299156728926</v>
      </c>
    </row>
    <row r="25" spans="2:25">
      <c r="B25" t="s">
        <v>1187</v>
      </c>
      <c r="C25" s="21">
        <v>1384.8668873816923</v>
      </c>
      <c r="D25" s="21">
        <v>191.93890080379629</v>
      </c>
      <c r="E25" s="21">
        <v>6.9756857551662961</v>
      </c>
      <c r="F25" s="21">
        <v>6.2638810862717946</v>
      </c>
      <c r="G25" s="21">
        <v>4.7182480909580136</v>
      </c>
      <c r="H25" s="21">
        <v>21.54807677532699</v>
      </c>
      <c r="I25" s="21">
        <v>23.893472430138672</v>
      </c>
    </row>
    <row r="27" spans="2:25">
      <c r="B27" s="4" t="s">
        <v>1201</v>
      </c>
    </row>
    <row r="28" spans="2:25">
      <c r="B28" t="s">
        <v>1203</v>
      </c>
    </row>
    <row r="29" spans="2:25">
      <c r="B29" s="38" t="s">
        <v>1205</v>
      </c>
      <c r="C29" s="38" t="s">
        <v>59</v>
      </c>
      <c r="D29" s="38" t="s">
        <v>61</v>
      </c>
      <c r="E29" s="38" t="s">
        <v>227</v>
      </c>
      <c r="F29" s="38" t="s">
        <v>579</v>
      </c>
      <c r="G29" s="38" t="s">
        <v>1187</v>
      </c>
      <c r="H29" s="38" t="s">
        <v>59</v>
      </c>
      <c r="I29" s="38" t="s">
        <v>61</v>
      </c>
      <c r="J29" s="38" t="s">
        <v>227</v>
      </c>
      <c r="K29" s="38" t="s">
        <v>579</v>
      </c>
      <c r="L29" s="38" t="s">
        <v>1187</v>
      </c>
    </row>
    <row r="30" spans="2:25">
      <c r="B30" t="s">
        <v>1204</v>
      </c>
      <c r="C30" s="21">
        <v>770.09279297918079</v>
      </c>
      <c r="D30" s="21">
        <v>504.09301602345636</v>
      </c>
      <c r="E30" s="21">
        <v>319.62377265831788</v>
      </c>
      <c r="F30" s="21">
        <v>130.02475708378034</v>
      </c>
      <c r="G30" s="21">
        <v>1404.2105660864174</v>
      </c>
      <c r="H30" s="21">
        <v>657.70199429400918</v>
      </c>
      <c r="I30" s="21">
        <v>427.49714714142192</v>
      </c>
      <c r="J30" s="21">
        <v>271.67733401058899</v>
      </c>
      <c r="K30" s="21">
        <v>110.61348399353648</v>
      </c>
      <c r="L30" s="21">
        <v>1195.8126254289675</v>
      </c>
    </row>
    <row r="33" spans="2:11">
      <c r="B33" t="s">
        <v>1206</v>
      </c>
    </row>
    <row r="34" spans="2:11" ht="105">
      <c r="C34" s="110" t="s">
        <v>1158</v>
      </c>
      <c r="D34" s="110" t="s">
        <v>1159</v>
      </c>
      <c r="E34" s="110" t="s">
        <v>1160</v>
      </c>
      <c r="F34" s="110" t="s">
        <v>1161</v>
      </c>
      <c r="G34" s="110" t="s">
        <v>1162</v>
      </c>
      <c r="H34" s="110" t="s">
        <v>1163</v>
      </c>
      <c r="I34" s="110" t="s">
        <v>1164</v>
      </c>
      <c r="J34" s="110" t="s">
        <v>1165</v>
      </c>
      <c r="K34" s="110" t="s">
        <v>1166</v>
      </c>
    </row>
    <row r="35" spans="2:11">
      <c r="B35" t="s">
        <v>59</v>
      </c>
      <c r="C35" s="21">
        <f>C14</f>
        <v>530.73375310592166</v>
      </c>
      <c r="D35" s="21">
        <f>C30-G35-J35</f>
        <v>356.70438762203639</v>
      </c>
      <c r="E35" s="21">
        <f>C22</f>
        <v>679.5889787666473</v>
      </c>
      <c r="F35" s="21">
        <f>D14</f>
        <v>83.150832111255568</v>
      </c>
      <c r="G35" s="21">
        <f>C30-H30</f>
        <v>112.3907986851716</v>
      </c>
      <c r="H35" s="21">
        <f>D22</f>
        <v>94.13265697755071</v>
      </c>
      <c r="I35" s="21">
        <f>E14</f>
        <v>132.68343827648039</v>
      </c>
      <c r="J35" s="21">
        <f>SUM(D5:V5)-G35</f>
        <v>300.99760667197279</v>
      </c>
      <c r="K35" s="21">
        <f>SUM(E22:I22)</f>
        <v>30.684705700325821</v>
      </c>
    </row>
    <row r="36" spans="2:11">
      <c r="B36" t="s">
        <v>61</v>
      </c>
      <c r="C36" s="21">
        <f t="shared" ref="C36:C38" si="0">C15</f>
        <v>337.20441753472107</v>
      </c>
      <c r="D36" s="21">
        <f>D30-G36-J36</f>
        <v>243.33457703377769</v>
      </c>
      <c r="E36" s="21">
        <f t="shared" ref="E36:E38" si="1">C23</f>
        <v>572.21824324028614</v>
      </c>
      <c r="F36" s="21">
        <f t="shared" ref="F36:F38" si="2">D15</f>
        <v>59.790037795771525</v>
      </c>
      <c r="G36" s="21">
        <f>D30-I30</f>
        <v>76.595868882034438</v>
      </c>
      <c r="H36" s="21">
        <f t="shared" ref="H36:H38" si="3">D23</f>
        <v>79.291267221478279</v>
      </c>
      <c r="I36" s="21">
        <f t="shared" ref="I36:I38" si="4">E15</f>
        <v>84.30110438368024</v>
      </c>
      <c r="J36" s="21">
        <f t="shared" ref="J36:J38" si="5">SUM(D6:V6)-G36</f>
        <v>184.16257010764423</v>
      </c>
      <c r="K36" s="21">
        <f t="shared" ref="K36:K38" si="6">SUM(E23:I23)</f>
        <v>26.070409430868494</v>
      </c>
    </row>
    <row r="37" spans="2:11">
      <c r="B37" t="s">
        <v>227</v>
      </c>
      <c r="C37" s="21">
        <f t="shared" si="0"/>
        <v>146.19738798505799</v>
      </c>
      <c r="D37" s="21">
        <f>E30-G37-J37</f>
        <v>164.99295768930881</v>
      </c>
      <c r="E37" s="21">
        <f t="shared" si="1"/>
        <v>355.42368732906465</v>
      </c>
      <c r="F37" s="21">
        <f t="shared" si="2"/>
        <v>23.374015908007323</v>
      </c>
      <c r="G37" s="21">
        <f>E30-J30</f>
        <v>47.946438647728883</v>
      </c>
      <c r="H37" s="21">
        <f t="shared" si="3"/>
        <v>49.3213009269964</v>
      </c>
      <c r="I37" s="21">
        <f t="shared" si="4"/>
        <v>36.549346996264489</v>
      </c>
      <c r="J37" s="21">
        <f t="shared" si="5"/>
        <v>106.68437632128018</v>
      </c>
      <c r="K37" s="21">
        <f t="shared" si="6"/>
        <v>16.727946938271771</v>
      </c>
    </row>
    <row r="38" spans="2:11">
      <c r="B38" t="s">
        <v>1187</v>
      </c>
      <c r="C38" s="21">
        <f t="shared" si="0"/>
        <v>932.90649588738052</v>
      </c>
      <c r="D38" s="21">
        <f>G30-G38-J38</f>
        <v>662.64400934932837</v>
      </c>
      <c r="E38" s="21">
        <f t="shared" si="1"/>
        <v>1384.8668873816923</v>
      </c>
      <c r="F38" s="21">
        <f t="shared" si="2"/>
        <v>153.80583244450372</v>
      </c>
      <c r="G38" s="21">
        <f>G30-L30</f>
        <v>208.39794065744991</v>
      </c>
      <c r="H38" s="21">
        <f t="shared" si="3"/>
        <v>191.93890080379629</v>
      </c>
      <c r="I38" s="21">
        <f t="shared" si="4"/>
        <v>233.22662397184513</v>
      </c>
      <c r="J38" s="21">
        <f t="shared" si="5"/>
        <v>533.16861607963915</v>
      </c>
      <c r="K38" s="21">
        <f t="shared" si="6"/>
        <v>63.399364137861767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FF0000"/>
  </sheetPr>
  <dimension ref="B2:X305"/>
  <sheetViews>
    <sheetView topLeftCell="A121" zoomScale="85" zoomScaleNormal="85" workbookViewId="0">
      <selection activeCell="B142" sqref="B142:E146"/>
    </sheetView>
  </sheetViews>
  <sheetFormatPr defaultRowHeight="15"/>
  <cols>
    <col min="1" max="1" width="9.140625" style="41"/>
    <col min="2" max="2" width="26.85546875" style="41" customWidth="1"/>
    <col min="3" max="3" width="13.85546875" style="41" customWidth="1"/>
    <col min="4" max="4" width="10" style="41" customWidth="1"/>
    <col min="5" max="5" width="9" style="41" customWidth="1"/>
    <col min="6" max="6" width="9.7109375" style="41" bestFit="1" customWidth="1"/>
    <col min="7" max="7" width="9.28515625" style="41" bestFit="1" customWidth="1"/>
    <col min="8" max="8" width="9.140625" style="41"/>
    <col min="9" max="9" width="9.28515625" style="41" bestFit="1" customWidth="1"/>
    <col min="10" max="11" width="9.140625" style="41"/>
    <col min="12" max="12" width="10.7109375" style="41" customWidth="1"/>
    <col min="13" max="20" width="9.140625" style="41"/>
    <col min="21" max="21" width="23.85546875" style="41" customWidth="1"/>
    <col min="22" max="22" width="12.28515625" style="41" bestFit="1" customWidth="1"/>
    <col min="23" max="16384" width="9.140625" style="41"/>
  </cols>
  <sheetData>
    <row r="2" spans="2:20">
      <c r="B2" s="70" t="s">
        <v>392</v>
      </c>
    </row>
    <row r="3" spans="2:20" ht="15.75" thickBot="1">
      <c r="B3" s="41" t="s">
        <v>542</v>
      </c>
    </row>
    <row r="4" spans="2:20" ht="15.75" customHeight="1" thickBot="1">
      <c r="B4" s="142" t="s">
        <v>393</v>
      </c>
      <c r="C4" s="42" t="s">
        <v>394</v>
      </c>
      <c r="D4" s="145" t="s">
        <v>395</v>
      </c>
      <c r="E4" s="146"/>
      <c r="F4" s="146"/>
      <c r="G4" s="146"/>
      <c r="H4" s="146"/>
      <c r="I4" s="146"/>
      <c r="J4" s="147" t="s">
        <v>396</v>
      </c>
      <c r="K4" s="136" t="s">
        <v>397</v>
      </c>
      <c r="L4" s="136"/>
      <c r="M4" s="136"/>
      <c r="N4" s="137"/>
      <c r="O4" s="135" t="s">
        <v>398</v>
      </c>
      <c r="P4" s="136"/>
      <c r="Q4" s="137"/>
      <c r="R4" s="150" t="s">
        <v>399</v>
      </c>
      <c r="S4" s="43"/>
      <c r="T4" s="43"/>
    </row>
    <row r="5" spans="2:20" ht="48.75" customHeight="1">
      <c r="B5" s="143"/>
      <c r="C5" s="44"/>
      <c r="D5" s="135" t="s">
        <v>400</v>
      </c>
      <c r="E5" s="136"/>
      <c r="F5" s="136"/>
      <c r="G5" s="45"/>
      <c r="H5" s="42" t="s">
        <v>401</v>
      </c>
      <c r="I5" s="42"/>
      <c r="J5" s="148"/>
      <c r="K5" s="44"/>
      <c r="L5" s="44"/>
      <c r="M5" s="44"/>
      <c r="N5" s="44"/>
      <c r="O5" s="46"/>
      <c r="P5" s="44"/>
      <c r="Q5" s="47"/>
      <c r="R5" s="151"/>
      <c r="S5" s="43"/>
      <c r="T5" s="43"/>
    </row>
    <row r="6" spans="2:20" ht="36.75" thickBot="1">
      <c r="B6" s="144"/>
      <c r="C6" s="48" t="s">
        <v>402</v>
      </c>
      <c r="D6" s="49" t="s">
        <v>403</v>
      </c>
      <c r="E6" s="50" t="s">
        <v>404</v>
      </c>
      <c r="F6" s="50" t="s">
        <v>405</v>
      </c>
      <c r="G6" s="49" t="s">
        <v>406</v>
      </c>
      <c r="H6" s="50" t="s">
        <v>407</v>
      </c>
      <c r="I6" s="50" t="s">
        <v>408</v>
      </c>
      <c r="J6" s="149"/>
      <c r="K6" s="50" t="s">
        <v>409</v>
      </c>
      <c r="L6" s="50" t="s">
        <v>410</v>
      </c>
      <c r="M6" s="50" t="s">
        <v>411</v>
      </c>
      <c r="N6" s="50" t="s">
        <v>412</v>
      </c>
      <c r="O6" s="49" t="s">
        <v>406</v>
      </c>
      <c r="P6" s="50" t="s">
        <v>413</v>
      </c>
      <c r="Q6" s="51" t="s">
        <v>414</v>
      </c>
      <c r="R6" s="152"/>
      <c r="S6" s="43"/>
      <c r="T6" s="43"/>
    </row>
    <row r="7" spans="2:20">
      <c r="B7" s="52" t="s">
        <v>247</v>
      </c>
      <c r="C7" s="53">
        <v>16647</v>
      </c>
      <c r="D7" s="54">
        <v>843</v>
      </c>
      <c r="E7" s="53">
        <v>2145</v>
      </c>
      <c r="F7" s="55">
        <f t="shared" ref="F7:F14" si="0">D7+E7</f>
        <v>2988</v>
      </c>
      <c r="G7" s="53">
        <v>3321</v>
      </c>
      <c r="H7" s="53">
        <v>1414</v>
      </c>
      <c r="I7" s="56">
        <f>H7+G7</f>
        <v>4735</v>
      </c>
      <c r="J7" s="56">
        <f>C7+F7+I7</f>
        <v>24370</v>
      </c>
      <c r="K7" s="57">
        <v>2843</v>
      </c>
      <c r="L7" s="57">
        <v>153227</v>
      </c>
      <c r="M7" s="57">
        <v>28799</v>
      </c>
      <c r="N7" s="58">
        <v>8289</v>
      </c>
      <c r="O7" s="57">
        <v>10826</v>
      </c>
      <c r="P7" s="59">
        <v>0</v>
      </c>
      <c r="Q7" s="58">
        <v>3421</v>
      </c>
      <c r="R7" s="58">
        <f>SUM(K7:Q7)</f>
        <v>207405</v>
      </c>
      <c r="S7" s="53"/>
      <c r="T7" s="53"/>
    </row>
    <row r="8" spans="2:20">
      <c r="B8" s="60" t="s">
        <v>248</v>
      </c>
      <c r="C8" s="61">
        <v>347</v>
      </c>
      <c r="D8" s="54">
        <v>718</v>
      </c>
      <c r="E8" s="53">
        <v>1817</v>
      </c>
      <c r="F8" s="55">
        <f t="shared" si="0"/>
        <v>2535</v>
      </c>
      <c r="G8" s="53">
        <v>2830</v>
      </c>
      <c r="H8" s="53">
        <v>1205</v>
      </c>
      <c r="I8" s="56">
        <f t="shared" ref="I8:I14" si="1">H8+G8</f>
        <v>4035</v>
      </c>
      <c r="J8" s="56">
        <f t="shared" ref="J8:J15" si="2">C8+F8+I8</f>
        <v>6917</v>
      </c>
      <c r="K8" s="59">
        <v>73</v>
      </c>
      <c r="L8" s="57">
        <v>1992</v>
      </c>
      <c r="M8" s="59">
        <v>7</v>
      </c>
      <c r="N8" s="62">
        <v>3</v>
      </c>
      <c r="O8" s="57">
        <v>9226</v>
      </c>
      <c r="P8" s="59">
        <v>38</v>
      </c>
      <c r="Q8" s="58">
        <v>2915</v>
      </c>
      <c r="R8" s="58">
        <f t="shared" ref="R8:R14" si="3">SUM(K8:Q8)</f>
        <v>14254</v>
      </c>
      <c r="S8" s="53"/>
      <c r="T8" s="53"/>
    </row>
    <row r="9" spans="2:20">
      <c r="B9" s="60" t="s">
        <v>249</v>
      </c>
      <c r="C9" s="53">
        <v>16119</v>
      </c>
      <c r="D9" s="54">
        <v>471</v>
      </c>
      <c r="E9" s="53">
        <v>1296</v>
      </c>
      <c r="F9" s="55">
        <f t="shared" si="0"/>
        <v>1767</v>
      </c>
      <c r="G9" s="53">
        <v>1855</v>
      </c>
      <c r="H9" s="61">
        <v>790</v>
      </c>
      <c r="I9" s="56">
        <f t="shared" si="1"/>
        <v>2645</v>
      </c>
      <c r="J9" s="56">
        <f t="shared" si="2"/>
        <v>20531</v>
      </c>
      <c r="K9" s="57">
        <v>4866</v>
      </c>
      <c r="L9" s="57">
        <v>133038</v>
      </c>
      <c r="M9" s="57">
        <v>13259</v>
      </c>
      <c r="N9" s="58">
        <v>26210</v>
      </c>
      <c r="O9" s="57">
        <v>6046</v>
      </c>
      <c r="P9" s="57">
        <v>24031</v>
      </c>
      <c r="Q9" s="58">
        <v>1911</v>
      </c>
      <c r="R9" s="58">
        <f t="shared" si="3"/>
        <v>209361</v>
      </c>
      <c r="S9" s="53"/>
      <c r="T9" s="53"/>
    </row>
    <row r="10" spans="2:20">
      <c r="B10" s="60" t="s">
        <v>250</v>
      </c>
      <c r="C10" s="53">
        <v>20138</v>
      </c>
      <c r="D10" s="54">
        <v>584</v>
      </c>
      <c r="E10" s="53">
        <v>1589</v>
      </c>
      <c r="F10" s="55">
        <f t="shared" si="0"/>
        <v>2173</v>
      </c>
      <c r="G10" s="53">
        <v>2302</v>
      </c>
      <c r="H10" s="61">
        <v>980</v>
      </c>
      <c r="I10" s="56">
        <f t="shared" si="1"/>
        <v>3282</v>
      </c>
      <c r="J10" s="56">
        <f t="shared" si="2"/>
        <v>25593</v>
      </c>
      <c r="K10" s="57">
        <v>6855</v>
      </c>
      <c r="L10" s="57">
        <v>90653</v>
      </c>
      <c r="M10" s="57">
        <v>3528</v>
      </c>
      <c r="N10" s="58">
        <v>4347</v>
      </c>
      <c r="O10" s="57">
        <v>7503</v>
      </c>
      <c r="P10" s="59">
        <v>0</v>
      </c>
      <c r="Q10" s="58">
        <v>2371</v>
      </c>
      <c r="R10" s="58">
        <f t="shared" si="3"/>
        <v>115257</v>
      </c>
      <c r="S10" s="53"/>
      <c r="T10" s="53"/>
    </row>
    <row r="11" spans="2:20">
      <c r="B11" s="60" t="s">
        <v>59</v>
      </c>
      <c r="C11" s="53">
        <v>14273</v>
      </c>
      <c r="D11" s="54">
        <v>612</v>
      </c>
      <c r="E11" s="53">
        <v>1612</v>
      </c>
      <c r="F11" s="55">
        <f t="shared" si="0"/>
        <v>2224</v>
      </c>
      <c r="G11" s="53">
        <v>2413</v>
      </c>
      <c r="H11" s="53">
        <v>1028</v>
      </c>
      <c r="I11" s="56">
        <f t="shared" si="1"/>
        <v>3441</v>
      </c>
      <c r="J11" s="56">
        <f t="shared" si="2"/>
        <v>19938</v>
      </c>
      <c r="K11" s="57">
        <v>6710</v>
      </c>
      <c r="L11" s="57">
        <v>77004</v>
      </c>
      <c r="M11" s="57">
        <v>4543</v>
      </c>
      <c r="N11" s="58">
        <v>2563</v>
      </c>
      <c r="O11" s="57">
        <v>7865</v>
      </c>
      <c r="P11" s="59">
        <v>0</v>
      </c>
      <c r="Q11" s="58">
        <v>2485</v>
      </c>
      <c r="R11" s="58">
        <f t="shared" si="3"/>
        <v>101170</v>
      </c>
      <c r="S11" s="53"/>
      <c r="T11" s="53"/>
    </row>
    <row r="12" spans="2:20">
      <c r="B12" s="60" t="s">
        <v>60</v>
      </c>
      <c r="C12" s="53">
        <v>23415</v>
      </c>
      <c r="D12" s="54">
        <v>837</v>
      </c>
      <c r="E12" s="53">
        <v>2080</v>
      </c>
      <c r="F12" s="55">
        <f t="shared" si="0"/>
        <v>2917</v>
      </c>
      <c r="G12" s="53">
        <v>3300</v>
      </c>
      <c r="H12" s="53">
        <v>1405</v>
      </c>
      <c r="I12" s="56">
        <f t="shared" si="1"/>
        <v>4705</v>
      </c>
      <c r="J12" s="56">
        <f t="shared" si="2"/>
        <v>31037</v>
      </c>
      <c r="K12" s="57">
        <v>5807</v>
      </c>
      <c r="L12" s="57">
        <v>26605</v>
      </c>
      <c r="M12" s="57">
        <v>5924</v>
      </c>
      <c r="N12" s="58">
        <v>1164</v>
      </c>
      <c r="O12" s="57">
        <v>10755</v>
      </c>
      <c r="P12" s="59">
        <v>0</v>
      </c>
      <c r="Q12" s="58">
        <v>3399</v>
      </c>
      <c r="R12" s="58">
        <f t="shared" si="3"/>
        <v>53654</v>
      </c>
      <c r="S12" s="53"/>
      <c r="T12" s="53"/>
    </row>
    <row r="13" spans="2:20">
      <c r="B13" s="60" t="s">
        <v>251</v>
      </c>
      <c r="C13" s="53">
        <v>20069</v>
      </c>
      <c r="D13" s="54">
        <v>394</v>
      </c>
      <c r="E13" s="53">
        <v>1073</v>
      </c>
      <c r="F13" s="55">
        <f t="shared" si="0"/>
        <v>1467</v>
      </c>
      <c r="G13" s="53">
        <v>1551</v>
      </c>
      <c r="H13" s="61">
        <v>661</v>
      </c>
      <c r="I13" s="56">
        <f t="shared" si="1"/>
        <v>2212</v>
      </c>
      <c r="J13" s="56">
        <f t="shared" si="2"/>
        <v>23748</v>
      </c>
      <c r="K13" s="57">
        <v>4235</v>
      </c>
      <c r="L13" s="57">
        <v>182014</v>
      </c>
      <c r="M13" s="57">
        <v>6455</v>
      </c>
      <c r="N13" s="58">
        <v>14304</v>
      </c>
      <c r="O13" s="57">
        <v>5055</v>
      </c>
      <c r="P13" s="59">
        <v>0</v>
      </c>
      <c r="Q13" s="58">
        <v>1598</v>
      </c>
      <c r="R13" s="58">
        <f t="shared" si="3"/>
        <v>213661</v>
      </c>
      <c r="S13" s="53"/>
      <c r="T13" s="53"/>
    </row>
    <row r="14" spans="2:20" ht="15.75" thickBot="1">
      <c r="B14" s="63" t="s">
        <v>61</v>
      </c>
      <c r="C14" s="53">
        <v>20949</v>
      </c>
      <c r="D14" s="54">
        <v>332</v>
      </c>
      <c r="E14" s="61">
        <v>929</v>
      </c>
      <c r="F14" s="55">
        <f t="shared" si="0"/>
        <v>1261</v>
      </c>
      <c r="G14" s="53">
        <v>1309</v>
      </c>
      <c r="H14" s="61">
        <v>557</v>
      </c>
      <c r="I14" s="56">
        <f t="shared" si="1"/>
        <v>1866</v>
      </c>
      <c r="J14" s="56">
        <f t="shared" si="2"/>
        <v>24076</v>
      </c>
      <c r="K14" s="57">
        <v>11329</v>
      </c>
      <c r="L14" s="57">
        <v>59472</v>
      </c>
      <c r="M14" s="57">
        <v>4085</v>
      </c>
      <c r="N14" s="62">
        <v>846</v>
      </c>
      <c r="O14" s="57">
        <v>4266</v>
      </c>
      <c r="P14" s="57">
        <v>38313</v>
      </c>
      <c r="Q14" s="58">
        <v>1348</v>
      </c>
      <c r="R14" s="58">
        <f t="shared" si="3"/>
        <v>119659</v>
      </c>
      <c r="S14" s="53"/>
      <c r="T14" s="53"/>
    </row>
    <row r="15" spans="2:20" ht="15.75" thickBot="1">
      <c r="B15" s="64" t="s">
        <v>223</v>
      </c>
      <c r="C15" s="65">
        <f>SUM(C7:C14)</f>
        <v>131957</v>
      </c>
      <c r="D15" s="66">
        <f t="shared" ref="D15:Q15" si="4">SUM(D7:D14)</f>
        <v>4791</v>
      </c>
      <c r="E15" s="67">
        <f t="shared" si="4"/>
        <v>12541</v>
      </c>
      <c r="F15" s="68">
        <f t="shared" si="4"/>
        <v>17332</v>
      </c>
      <c r="G15" s="66">
        <f t="shared" si="4"/>
        <v>18881</v>
      </c>
      <c r="H15" s="67">
        <f t="shared" si="4"/>
        <v>8040</v>
      </c>
      <c r="I15" s="68">
        <f t="shared" si="4"/>
        <v>26921</v>
      </c>
      <c r="J15" s="68">
        <f t="shared" si="2"/>
        <v>176210</v>
      </c>
      <c r="K15" s="66">
        <f t="shared" si="4"/>
        <v>42718</v>
      </c>
      <c r="L15" s="67">
        <f t="shared" si="4"/>
        <v>724005</v>
      </c>
      <c r="M15" s="67">
        <f t="shared" si="4"/>
        <v>66600</v>
      </c>
      <c r="N15" s="69">
        <f t="shared" si="4"/>
        <v>57726</v>
      </c>
      <c r="O15" s="66">
        <f t="shared" si="4"/>
        <v>61542</v>
      </c>
      <c r="P15" s="67">
        <f t="shared" si="4"/>
        <v>62382</v>
      </c>
      <c r="Q15" s="69">
        <f t="shared" si="4"/>
        <v>19448</v>
      </c>
      <c r="R15" s="69">
        <f>SUM(K15:Q15)</f>
        <v>1034421</v>
      </c>
      <c r="S15" s="53"/>
      <c r="T15" s="53"/>
    </row>
    <row r="16" spans="2:20" ht="15.75" thickBot="1"/>
    <row r="17" spans="2:24" ht="15.75" thickBot="1">
      <c r="B17" s="142" t="s">
        <v>393</v>
      </c>
      <c r="C17" s="42" t="s">
        <v>394</v>
      </c>
      <c r="D17" s="145" t="s">
        <v>395</v>
      </c>
      <c r="E17" s="146"/>
      <c r="F17" s="146"/>
      <c r="G17" s="146"/>
      <c r="H17" s="146"/>
      <c r="I17" s="146"/>
      <c r="J17" s="147" t="s">
        <v>396</v>
      </c>
      <c r="K17" s="136" t="s">
        <v>415</v>
      </c>
      <c r="L17" s="136"/>
      <c r="M17" s="136"/>
      <c r="N17" s="137"/>
      <c r="O17" s="135" t="s">
        <v>416</v>
      </c>
      <c r="P17" s="136"/>
      <c r="Q17" s="137"/>
      <c r="R17" s="150" t="s">
        <v>399</v>
      </c>
      <c r="S17" s="43"/>
      <c r="T17" s="43"/>
      <c r="U17" s="70" t="s">
        <v>417</v>
      </c>
    </row>
    <row r="18" spans="2:24" ht="18">
      <c r="B18" s="143"/>
      <c r="C18" s="44"/>
      <c r="D18" s="135" t="s">
        <v>400</v>
      </c>
      <c r="E18" s="136"/>
      <c r="F18" s="136"/>
      <c r="G18" s="45"/>
      <c r="H18" s="42" t="s">
        <v>401</v>
      </c>
      <c r="I18" s="42"/>
      <c r="J18" s="148"/>
      <c r="K18" s="44"/>
      <c r="L18" s="44"/>
      <c r="M18" s="44"/>
      <c r="N18" s="44"/>
      <c r="O18" s="46"/>
      <c r="P18" s="44"/>
      <c r="Q18" s="47"/>
      <c r="R18" s="151"/>
      <c r="S18" s="43"/>
      <c r="T18" s="43"/>
      <c r="U18" s="41" t="s">
        <v>418</v>
      </c>
      <c r="V18" s="41" t="s">
        <v>419</v>
      </c>
      <c r="W18" s="41" t="s">
        <v>420</v>
      </c>
      <c r="X18" s="41" t="s">
        <v>421</v>
      </c>
    </row>
    <row r="19" spans="2:24" ht="36.75" thickBot="1">
      <c r="B19" s="144"/>
      <c r="C19" s="48" t="s">
        <v>402</v>
      </c>
      <c r="D19" s="49" t="s">
        <v>403</v>
      </c>
      <c r="E19" s="50" t="s">
        <v>404</v>
      </c>
      <c r="F19" s="50" t="s">
        <v>405</v>
      </c>
      <c r="G19" s="49" t="s">
        <v>406</v>
      </c>
      <c r="H19" s="50" t="s">
        <v>407</v>
      </c>
      <c r="I19" s="50" t="s">
        <v>408</v>
      </c>
      <c r="J19" s="149"/>
      <c r="K19" s="50" t="s">
        <v>409</v>
      </c>
      <c r="L19" s="50" t="s">
        <v>410</v>
      </c>
      <c r="M19" s="50" t="s">
        <v>411</v>
      </c>
      <c r="N19" s="50" t="s">
        <v>412</v>
      </c>
      <c r="O19" s="49" t="s">
        <v>406</v>
      </c>
      <c r="P19" s="50" t="s">
        <v>413</v>
      </c>
      <c r="Q19" s="51" t="s">
        <v>414</v>
      </c>
      <c r="R19" s="152"/>
      <c r="S19" s="43"/>
      <c r="T19" s="43"/>
      <c r="U19" s="41" t="s">
        <v>422</v>
      </c>
      <c r="V19" s="41">
        <v>0.91500000000000004</v>
      </c>
      <c r="W19" s="41">
        <v>16</v>
      </c>
      <c r="X19" s="41">
        <v>0.54</v>
      </c>
    </row>
    <row r="20" spans="2:24">
      <c r="B20" s="52" t="s">
        <v>247</v>
      </c>
      <c r="C20" s="53">
        <v>16647</v>
      </c>
      <c r="D20" s="54">
        <v>843</v>
      </c>
      <c r="E20" s="53">
        <v>2145</v>
      </c>
      <c r="F20" s="55">
        <f t="shared" ref="F20:F27" si="5">D20+E20</f>
        <v>2988</v>
      </c>
      <c r="G20" s="53">
        <v>3321</v>
      </c>
      <c r="H20" s="53">
        <v>1414</v>
      </c>
      <c r="I20" s="56">
        <f>H20+G20</f>
        <v>4735</v>
      </c>
      <c r="J20" s="56">
        <f>C20+F20+I20</f>
        <v>24370</v>
      </c>
      <c r="K20" s="57">
        <f>K7*$W$19</f>
        <v>45488</v>
      </c>
      <c r="L20" s="57">
        <f>L7*$W$20</f>
        <v>2451632</v>
      </c>
      <c r="M20" s="57">
        <f>M7*$W$21</f>
        <v>547181</v>
      </c>
      <c r="N20" s="58">
        <f>N7*$W$22</f>
        <v>397872</v>
      </c>
      <c r="O20" s="57">
        <f>O7*$W$23</f>
        <v>931036</v>
      </c>
      <c r="P20" s="59">
        <f t="shared" ref="P20:P27" si="6">P7*_ftnref3</f>
        <v>0</v>
      </c>
      <c r="Q20" s="58">
        <f>Q7*$W$25</f>
        <v>119735</v>
      </c>
      <c r="R20" s="58">
        <f>SUM(K20:Q20)</f>
        <v>4492944</v>
      </c>
      <c r="S20" s="53"/>
      <c r="T20" s="53"/>
      <c r="U20" s="41" t="s">
        <v>423</v>
      </c>
      <c r="V20" s="41">
        <v>0.91500000000000004</v>
      </c>
      <c r="W20" s="41">
        <v>16</v>
      </c>
      <c r="X20" s="41">
        <v>0.54</v>
      </c>
    </row>
    <row r="21" spans="2:24">
      <c r="B21" s="60" t="s">
        <v>248</v>
      </c>
      <c r="C21" s="61">
        <v>347</v>
      </c>
      <c r="D21" s="54">
        <v>718</v>
      </c>
      <c r="E21" s="53">
        <v>1817</v>
      </c>
      <c r="F21" s="55">
        <f t="shared" si="5"/>
        <v>2535</v>
      </c>
      <c r="G21" s="53">
        <v>2830</v>
      </c>
      <c r="H21" s="53">
        <v>1205</v>
      </c>
      <c r="I21" s="56">
        <f t="shared" ref="I21:I27" si="7">H21+G21</f>
        <v>4035</v>
      </c>
      <c r="J21" s="56">
        <f t="shared" ref="J21:J28" si="8">C21+F21+I21</f>
        <v>6917</v>
      </c>
      <c r="K21" s="57">
        <f t="shared" ref="K21:K27" si="9">K8*$W$19</f>
        <v>1168</v>
      </c>
      <c r="L21" s="57">
        <f t="shared" ref="L21:L27" si="10">L8*$W$20</f>
        <v>31872</v>
      </c>
      <c r="M21" s="57">
        <f t="shared" ref="M21:M27" si="11">M8*$W$21</f>
        <v>133</v>
      </c>
      <c r="N21" s="58">
        <f t="shared" ref="N21:N27" si="12">N8*$W$22</f>
        <v>144</v>
      </c>
      <c r="O21" s="57">
        <f t="shared" ref="O21:O27" si="13">O8*$W$23</f>
        <v>793436</v>
      </c>
      <c r="P21" s="59">
        <f t="shared" si="6"/>
        <v>646</v>
      </c>
      <c r="Q21" s="58">
        <f t="shared" ref="Q21:Q27" si="14">Q8*$W$25</f>
        <v>102025</v>
      </c>
      <c r="R21" s="58">
        <f t="shared" ref="R21:R27" si="15">SUM(K21:Q21)</f>
        <v>929424</v>
      </c>
      <c r="S21" s="53"/>
      <c r="T21" s="53"/>
      <c r="U21" s="41" t="s">
        <v>424</v>
      </c>
      <c r="V21" s="41">
        <v>0.94499999999999995</v>
      </c>
      <c r="W21" s="41">
        <v>19</v>
      </c>
      <c r="X21" s="41">
        <v>0.63</v>
      </c>
    </row>
    <row r="22" spans="2:24">
      <c r="B22" s="60" t="s">
        <v>249</v>
      </c>
      <c r="C22" s="53">
        <v>16119</v>
      </c>
      <c r="D22" s="54">
        <v>471</v>
      </c>
      <c r="E22" s="53">
        <v>1296</v>
      </c>
      <c r="F22" s="55">
        <f t="shared" si="5"/>
        <v>1767</v>
      </c>
      <c r="G22" s="53">
        <v>1855</v>
      </c>
      <c r="H22" s="61">
        <v>790</v>
      </c>
      <c r="I22" s="56">
        <f t="shared" si="7"/>
        <v>2645</v>
      </c>
      <c r="J22" s="56">
        <f t="shared" si="8"/>
        <v>20531</v>
      </c>
      <c r="K22" s="57">
        <f t="shared" si="9"/>
        <v>77856</v>
      </c>
      <c r="L22" s="57">
        <f t="shared" si="10"/>
        <v>2128608</v>
      </c>
      <c r="M22" s="57">
        <f t="shared" si="11"/>
        <v>251921</v>
      </c>
      <c r="N22" s="58">
        <f t="shared" si="12"/>
        <v>1258080</v>
      </c>
      <c r="O22" s="57">
        <f t="shared" si="13"/>
        <v>519956</v>
      </c>
      <c r="P22" s="59">
        <f t="shared" si="6"/>
        <v>408527</v>
      </c>
      <c r="Q22" s="58">
        <f t="shared" si="14"/>
        <v>66885</v>
      </c>
      <c r="R22" s="58">
        <f t="shared" si="15"/>
        <v>4711833</v>
      </c>
      <c r="S22" s="53"/>
      <c r="T22" s="53"/>
      <c r="U22" s="41" t="s">
        <v>425</v>
      </c>
      <c r="V22" s="41">
        <v>0.8</v>
      </c>
      <c r="W22" s="41">
        <v>48</v>
      </c>
      <c r="X22" s="41">
        <v>1.63</v>
      </c>
    </row>
    <row r="23" spans="2:24">
      <c r="B23" s="60" t="s">
        <v>250</v>
      </c>
      <c r="C23" s="53">
        <v>20138</v>
      </c>
      <c r="D23" s="54">
        <v>584</v>
      </c>
      <c r="E23" s="53">
        <v>1589</v>
      </c>
      <c r="F23" s="55">
        <f t="shared" si="5"/>
        <v>2173</v>
      </c>
      <c r="G23" s="53">
        <v>2302</v>
      </c>
      <c r="H23" s="61">
        <v>980</v>
      </c>
      <c r="I23" s="56">
        <f t="shared" si="7"/>
        <v>3282</v>
      </c>
      <c r="J23" s="56">
        <f t="shared" si="8"/>
        <v>25593</v>
      </c>
      <c r="K23" s="57">
        <f t="shared" si="9"/>
        <v>109680</v>
      </c>
      <c r="L23" s="57">
        <f t="shared" si="10"/>
        <v>1450448</v>
      </c>
      <c r="M23" s="57">
        <f t="shared" si="11"/>
        <v>67032</v>
      </c>
      <c r="N23" s="58">
        <f t="shared" si="12"/>
        <v>208656</v>
      </c>
      <c r="O23" s="57">
        <f t="shared" si="13"/>
        <v>645258</v>
      </c>
      <c r="P23" s="59">
        <f t="shared" si="6"/>
        <v>0</v>
      </c>
      <c r="Q23" s="58">
        <f t="shared" si="14"/>
        <v>82985</v>
      </c>
      <c r="R23" s="58">
        <f t="shared" si="15"/>
        <v>2564059</v>
      </c>
      <c r="S23" s="53"/>
      <c r="T23" s="53"/>
      <c r="U23" s="41" t="s">
        <v>426</v>
      </c>
      <c r="V23" s="41">
        <v>0.73799999999999999</v>
      </c>
      <c r="W23" s="41">
        <v>86</v>
      </c>
      <c r="X23" s="41">
        <v>2.92</v>
      </c>
    </row>
    <row r="24" spans="2:24">
      <c r="B24" s="60" t="s">
        <v>59</v>
      </c>
      <c r="C24" s="53">
        <v>14273</v>
      </c>
      <c r="D24" s="54">
        <v>612</v>
      </c>
      <c r="E24" s="53">
        <v>1612</v>
      </c>
      <c r="F24" s="55">
        <f t="shared" si="5"/>
        <v>2224</v>
      </c>
      <c r="G24" s="53">
        <v>2413</v>
      </c>
      <c r="H24" s="53">
        <v>1028</v>
      </c>
      <c r="I24" s="56">
        <f t="shared" si="7"/>
        <v>3441</v>
      </c>
      <c r="J24" s="56">
        <f t="shared" si="8"/>
        <v>19938</v>
      </c>
      <c r="K24" s="57">
        <f t="shared" si="9"/>
        <v>107360</v>
      </c>
      <c r="L24" s="57">
        <f t="shared" si="10"/>
        <v>1232064</v>
      </c>
      <c r="M24" s="57">
        <f t="shared" si="11"/>
        <v>86317</v>
      </c>
      <c r="N24" s="58">
        <f t="shared" si="12"/>
        <v>123024</v>
      </c>
      <c r="O24" s="57">
        <f t="shared" si="13"/>
        <v>676390</v>
      </c>
      <c r="P24" s="59">
        <f t="shared" si="6"/>
        <v>0</v>
      </c>
      <c r="Q24" s="58">
        <f t="shared" si="14"/>
        <v>86975</v>
      </c>
      <c r="R24" s="58">
        <f>SUM(K24:Q24)</f>
        <v>2312130</v>
      </c>
      <c r="S24" s="53"/>
      <c r="T24" s="53"/>
      <c r="U24" s="41" t="s">
        <v>427</v>
      </c>
      <c r="V24" s="41">
        <v>0.93</v>
      </c>
      <c r="W24" s="41">
        <v>17</v>
      </c>
      <c r="X24" s="41">
        <v>0.57999999999999996</v>
      </c>
    </row>
    <row r="25" spans="2:24">
      <c r="B25" s="60" t="s">
        <v>60</v>
      </c>
      <c r="C25" s="53">
        <v>23415</v>
      </c>
      <c r="D25" s="54">
        <v>837</v>
      </c>
      <c r="E25" s="53">
        <v>2080</v>
      </c>
      <c r="F25" s="55">
        <f t="shared" si="5"/>
        <v>2917</v>
      </c>
      <c r="G25" s="53">
        <v>3300</v>
      </c>
      <c r="H25" s="53">
        <v>1405</v>
      </c>
      <c r="I25" s="56">
        <f t="shared" si="7"/>
        <v>4705</v>
      </c>
      <c r="J25" s="56">
        <f t="shared" si="8"/>
        <v>31037</v>
      </c>
      <c r="K25" s="57">
        <f t="shared" si="9"/>
        <v>92912</v>
      </c>
      <c r="L25" s="57">
        <f t="shared" si="10"/>
        <v>425680</v>
      </c>
      <c r="M25" s="57">
        <f t="shared" si="11"/>
        <v>112556</v>
      </c>
      <c r="N25" s="58">
        <f t="shared" si="12"/>
        <v>55872</v>
      </c>
      <c r="O25" s="57">
        <f t="shared" si="13"/>
        <v>924930</v>
      </c>
      <c r="P25" s="59">
        <f t="shared" si="6"/>
        <v>0</v>
      </c>
      <c r="Q25" s="58">
        <f t="shared" si="14"/>
        <v>118965</v>
      </c>
      <c r="R25" s="58">
        <f t="shared" si="15"/>
        <v>1730915</v>
      </c>
      <c r="S25" s="53"/>
      <c r="T25" s="53"/>
      <c r="U25" s="41" t="s">
        <v>428</v>
      </c>
      <c r="V25" s="41">
        <v>0.73799999999999999</v>
      </c>
      <c r="W25" s="41">
        <v>35</v>
      </c>
      <c r="X25" s="41">
        <v>1.19</v>
      </c>
    </row>
    <row r="26" spans="2:24">
      <c r="B26" s="60" t="s">
        <v>251</v>
      </c>
      <c r="C26" s="53">
        <v>20069</v>
      </c>
      <c r="D26" s="54">
        <v>394</v>
      </c>
      <c r="E26" s="53">
        <v>1073</v>
      </c>
      <c r="F26" s="55">
        <f t="shared" si="5"/>
        <v>1467</v>
      </c>
      <c r="G26" s="53">
        <v>1551</v>
      </c>
      <c r="H26" s="61">
        <v>661</v>
      </c>
      <c r="I26" s="56">
        <f t="shared" si="7"/>
        <v>2212</v>
      </c>
      <c r="J26" s="56">
        <f t="shared" si="8"/>
        <v>23748</v>
      </c>
      <c r="K26" s="57">
        <f t="shared" si="9"/>
        <v>67760</v>
      </c>
      <c r="L26" s="57">
        <f t="shared" si="10"/>
        <v>2912224</v>
      </c>
      <c r="M26" s="57">
        <f t="shared" si="11"/>
        <v>122645</v>
      </c>
      <c r="N26" s="58">
        <f t="shared" si="12"/>
        <v>686592</v>
      </c>
      <c r="O26" s="57">
        <f t="shared" si="13"/>
        <v>434730</v>
      </c>
      <c r="P26" s="59">
        <f t="shared" si="6"/>
        <v>0</v>
      </c>
      <c r="Q26" s="58">
        <f t="shared" si="14"/>
        <v>55930</v>
      </c>
      <c r="R26" s="58">
        <f t="shared" si="15"/>
        <v>4279881</v>
      </c>
      <c r="S26" s="53"/>
      <c r="T26" s="53"/>
    </row>
    <row r="27" spans="2:24" ht="15.75" thickBot="1">
      <c r="B27" s="63" t="s">
        <v>61</v>
      </c>
      <c r="C27" s="53">
        <v>20949</v>
      </c>
      <c r="D27" s="54">
        <v>332</v>
      </c>
      <c r="E27" s="61">
        <v>929</v>
      </c>
      <c r="F27" s="55">
        <f t="shared" si="5"/>
        <v>1261</v>
      </c>
      <c r="G27" s="53">
        <v>1309</v>
      </c>
      <c r="H27" s="61">
        <v>557</v>
      </c>
      <c r="I27" s="56">
        <f t="shared" si="7"/>
        <v>1866</v>
      </c>
      <c r="J27" s="56">
        <f t="shared" si="8"/>
        <v>24076</v>
      </c>
      <c r="K27" s="57">
        <f t="shared" si="9"/>
        <v>181264</v>
      </c>
      <c r="L27" s="57">
        <f t="shared" si="10"/>
        <v>951552</v>
      </c>
      <c r="M27" s="57">
        <f t="shared" si="11"/>
        <v>77615</v>
      </c>
      <c r="N27" s="58">
        <f t="shared" si="12"/>
        <v>40608</v>
      </c>
      <c r="O27" s="57">
        <f t="shared" si="13"/>
        <v>366876</v>
      </c>
      <c r="P27" s="59">
        <f t="shared" si="6"/>
        <v>651321</v>
      </c>
      <c r="Q27" s="58">
        <f t="shared" si="14"/>
        <v>47180</v>
      </c>
      <c r="R27" s="58">
        <f t="shared" si="15"/>
        <v>2316416</v>
      </c>
      <c r="S27" s="53"/>
      <c r="T27" s="53"/>
    </row>
    <row r="28" spans="2:24" ht="15.75" thickBot="1">
      <c r="B28" s="64" t="s">
        <v>223</v>
      </c>
      <c r="C28" s="65">
        <f>SUM(C20:C27)</f>
        <v>131957</v>
      </c>
      <c r="D28" s="66">
        <f t="shared" ref="D28:I28" si="16">SUM(D20:D27)</f>
        <v>4791</v>
      </c>
      <c r="E28" s="67">
        <f t="shared" si="16"/>
        <v>12541</v>
      </c>
      <c r="F28" s="68">
        <f t="shared" si="16"/>
        <v>17332</v>
      </c>
      <c r="G28" s="66">
        <f t="shared" si="16"/>
        <v>18881</v>
      </c>
      <c r="H28" s="67">
        <f t="shared" si="16"/>
        <v>8040</v>
      </c>
      <c r="I28" s="68">
        <f t="shared" si="16"/>
        <v>26921</v>
      </c>
      <c r="J28" s="68">
        <f t="shared" si="8"/>
        <v>176210</v>
      </c>
      <c r="K28" s="66">
        <f t="shared" ref="K28:Q28" si="17">SUM(K20:K27)</f>
        <v>683488</v>
      </c>
      <c r="L28" s="67">
        <f t="shared" si="17"/>
        <v>11584080</v>
      </c>
      <c r="M28" s="67">
        <f t="shared" si="17"/>
        <v>1265400</v>
      </c>
      <c r="N28" s="69">
        <f t="shared" si="17"/>
        <v>2770848</v>
      </c>
      <c r="O28" s="66">
        <f t="shared" si="17"/>
        <v>5292612</v>
      </c>
      <c r="P28" s="67">
        <f t="shared" si="17"/>
        <v>1060494</v>
      </c>
      <c r="Q28" s="69">
        <f t="shared" si="17"/>
        <v>680680</v>
      </c>
      <c r="R28" s="69">
        <f>SUM(K28:Q28)</f>
        <v>23337602</v>
      </c>
      <c r="S28" s="53"/>
      <c r="T28" s="53"/>
    </row>
    <row r="29" spans="2:24" ht="15.75" thickBot="1"/>
    <row r="30" spans="2:24" ht="24.75" thickBot="1">
      <c r="B30" s="142" t="s">
        <v>393</v>
      </c>
      <c r="C30" s="85" t="s">
        <v>541</v>
      </c>
      <c r="D30" s="145" t="s">
        <v>429</v>
      </c>
      <c r="E30" s="146"/>
      <c r="F30" s="146"/>
      <c r="G30" s="146"/>
      <c r="H30" s="146"/>
      <c r="I30" s="146"/>
      <c r="J30" s="147" t="s">
        <v>430</v>
      </c>
      <c r="K30" s="136" t="s">
        <v>431</v>
      </c>
      <c r="L30" s="136"/>
      <c r="M30" s="136"/>
      <c r="N30" s="137"/>
      <c r="O30" s="135" t="s">
        <v>432</v>
      </c>
      <c r="P30" s="136"/>
      <c r="Q30" s="137"/>
      <c r="R30" s="150" t="s">
        <v>399</v>
      </c>
      <c r="S30" s="43"/>
      <c r="T30" s="43"/>
      <c r="U30" s="70" t="s">
        <v>433</v>
      </c>
      <c r="V30" s="41" t="s">
        <v>434</v>
      </c>
    </row>
    <row r="31" spans="2:24">
      <c r="B31" s="143"/>
      <c r="C31" s="44"/>
      <c r="D31" s="135" t="s">
        <v>400</v>
      </c>
      <c r="E31" s="136"/>
      <c r="F31" s="136"/>
      <c r="G31" s="45"/>
      <c r="H31" s="42" t="s">
        <v>401</v>
      </c>
      <c r="I31" s="42"/>
      <c r="J31" s="148"/>
      <c r="K31" s="44"/>
      <c r="L31" s="44"/>
      <c r="M31" s="44"/>
      <c r="N31" s="44"/>
      <c r="O31" s="46"/>
      <c r="P31" s="44"/>
      <c r="Q31" s="47"/>
      <c r="R31" s="151"/>
      <c r="S31" s="43"/>
      <c r="T31" s="43"/>
      <c r="U31" s="41" t="s">
        <v>418</v>
      </c>
      <c r="V31" s="41" t="s">
        <v>435</v>
      </c>
      <c r="W31" s="41" t="s">
        <v>436</v>
      </c>
    </row>
    <row r="32" spans="2:24" ht="36.75" thickBot="1">
      <c r="B32" s="144"/>
      <c r="C32" s="48"/>
      <c r="D32" s="49" t="s">
        <v>403</v>
      </c>
      <c r="E32" s="50" t="s">
        <v>404</v>
      </c>
      <c r="F32" s="50" t="s">
        <v>405</v>
      </c>
      <c r="G32" s="49" t="s">
        <v>406</v>
      </c>
      <c r="H32" s="50" t="s">
        <v>407</v>
      </c>
      <c r="I32" s="50" t="s">
        <v>408</v>
      </c>
      <c r="J32" s="149"/>
      <c r="K32" s="50" t="s">
        <v>409</v>
      </c>
      <c r="L32" s="50" t="s">
        <v>410</v>
      </c>
      <c r="M32" s="50" t="s">
        <v>411</v>
      </c>
      <c r="N32" s="50" t="s">
        <v>412</v>
      </c>
      <c r="O32" s="49" t="s">
        <v>406</v>
      </c>
      <c r="P32" s="50" t="s">
        <v>413</v>
      </c>
      <c r="Q32" s="51" t="s">
        <v>414</v>
      </c>
      <c r="R32" s="152"/>
      <c r="S32" s="43" t="s">
        <v>437</v>
      </c>
      <c r="T32" s="43"/>
      <c r="U32" s="41" t="s">
        <v>438</v>
      </c>
      <c r="V32" s="41">
        <v>19</v>
      </c>
      <c r="W32" s="41">
        <f>V32/3600</f>
        <v>5.2777777777777779E-3</v>
      </c>
    </row>
    <row r="33" spans="2:24">
      <c r="B33" s="52" t="s">
        <v>247</v>
      </c>
      <c r="C33" s="56">
        <f>C20*$W$35</f>
        <v>69.362499999999997</v>
      </c>
      <c r="D33" s="53">
        <f>D20*$W$35</f>
        <v>3.5124999999999997</v>
      </c>
      <c r="E33" s="53">
        <f>E20*$W$33</f>
        <v>11.320833333333333</v>
      </c>
      <c r="F33" s="55">
        <f>D33+E33</f>
        <v>14.833333333333332</v>
      </c>
      <c r="G33" s="53">
        <f>G20*$W$32</f>
        <v>17.5275</v>
      </c>
      <c r="H33" s="53">
        <f>H20*$W$34</f>
        <v>7.4627777777777782</v>
      </c>
      <c r="I33" s="56">
        <f>G33+H33</f>
        <v>24.990277777777777</v>
      </c>
      <c r="J33" s="56">
        <f>C33+F33+I33</f>
        <v>109.1861111111111</v>
      </c>
      <c r="K33" s="57">
        <f t="shared" ref="K33:Q40" si="18">K20*$V$42</f>
        <v>0.42897711111111109</v>
      </c>
      <c r="L33" s="57">
        <f t="shared" si="18"/>
        <v>23.120251777777778</v>
      </c>
      <c r="M33" s="57">
        <f t="shared" si="18"/>
        <v>5.1602208194444446</v>
      </c>
      <c r="N33" s="58">
        <f t="shared" si="18"/>
        <v>3.752154</v>
      </c>
      <c r="O33" s="57">
        <f t="shared" si="18"/>
        <v>8.7801867222222221</v>
      </c>
      <c r="P33" s="57">
        <f t="shared" si="18"/>
        <v>0</v>
      </c>
      <c r="Q33" s="58">
        <f t="shared" si="18"/>
        <v>1.1291675694444443</v>
      </c>
      <c r="R33" s="58">
        <f>SUM(K33:Q33)</f>
        <v>42.370958000000002</v>
      </c>
      <c r="S33" s="53">
        <f>J33+R33</f>
        <v>151.5570691111111</v>
      </c>
      <c r="T33" s="53"/>
      <c r="U33" s="41" t="s">
        <v>439</v>
      </c>
      <c r="V33" s="41">
        <v>19</v>
      </c>
      <c r="W33" s="41">
        <f>V33/3600</f>
        <v>5.2777777777777779E-3</v>
      </c>
    </row>
    <row r="34" spans="2:24">
      <c r="B34" s="60" t="s">
        <v>248</v>
      </c>
      <c r="C34" s="56">
        <f>C21*$W$35</f>
        <v>1.4458333333333333</v>
      </c>
      <c r="D34" s="53">
        <f t="shared" ref="D34:D40" si="19">D21*$W$35</f>
        <v>2.9916666666666667</v>
      </c>
      <c r="E34" s="53">
        <f t="shared" ref="E34:E40" si="20">E21*$W$33</f>
        <v>9.5897222222222229</v>
      </c>
      <c r="F34" s="55">
        <f t="shared" ref="F34:F40" si="21">D34+E34</f>
        <v>12.58138888888889</v>
      </c>
      <c r="G34" s="53">
        <f t="shared" ref="G34:G40" si="22">G21*$W$32</f>
        <v>14.936111111111112</v>
      </c>
      <c r="H34" s="53">
        <f t="shared" ref="H34:H40" si="23">H21*$W$34</f>
        <v>6.3597222222222225</v>
      </c>
      <c r="I34" s="56">
        <f t="shared" ref="I34:I40" si="24">G34+H34</f>
        <v>21.295833333333334</v>
      </c>
      <c r="J34" s="56">
        <f t="shared" ref="J34:J40" si="25">C34+F34+I34</f>
        <v>35.323055555555555</v>
      </c>
      <c r="K34" s="57">
        <f t="shared" si="18"/>
        <v>1.1014888888888888E-2</v>
      </c>
      <c r="L34" s="57">
        <f t="shared" si="18"/>
        <v>0.30057066666666665</v>
      </c>
      <c r="M34" s="57">
        <f t="shared" si="18"/>
        <v>1.2542638888888887E-3</v>
      </c>
      <c r="N34" s="58">
        <f t="shared" si="18"/>
        <v>1.3579999999999998E-3</v>
      </c>
      <c r="O34" s="57">
        <f t="shared" si="18"/>
        <v>7.4825422777777773</v>
      </c>
      <c r="P34" s="57">
        <f t="shared" si="18"/>
        <v>6.0921388888888883E-3</v>
      </c>
      <c r="Q34" s="58">
        <f t="shared" si="18"/>
        <v>0.96215243055555555</v>
      </c>
      <c r="R34" s="58">
        <f t="shared" ref="R34:R40" si="26">SUM(K34:Q34)</f>
        <v>8.7649846666666669</v>
      </c>
      <c r="S34" s="53">
        <f t="shared" ref="S34:S41" si="27">J34+R34</f>
        <v>44.088040222222219</v>
      </c>
      <c r="T34" s="53"/>
      <c r="U34" s="41" t="s">
        <v>407</v>
      </c>
      <c r="V34" s="41">
        <v>19</v>
      </c>
      <c r="W34" s="41">
        <f>V34/3600</f>
        <v>5.2777777777777779E-3</v>
      </c>
    </row>
    <row r="35" spans="2:24">
      <c r="B35" s="60" t="s">
        <v>249</v>
      </c>
      <c r="C35" s="56">
        <f t="shared" ref="C35:C40" si="28">C22*$W$35</f>
        <v>67.162499999999994</v>
      </c>
      <c r="D35" s="53">
        <f t="shared" si="19"/>
        <v>1.9624999999999999</v>
      </c>
      <c r="E35" s="53">
        <f>E22*$W$33</f>
        <v>6.84</v>
      </c>
      <c r="F35" s="55">
        <f t="shared" si="21"/>
        <v>8.8025000000000002</v>
      </c>
      <c r="G35" s="53">
        <f t="shared" si="22"/>
        <v>9.7902777777777779</v>
      </c>
      <c r="H35" s="53">
        <f t="shared" si="23"/>
        <v>4.1694444444444443</v>
      </c>
      <c r="I35" s="56">
        <f t="shared" si="24"/>
        <v>13.959722222222222</v>
      </c>
      <c r="J35" s="56">
        <f t="shared" si="25"/>
        <v>89.924722222222215</v>
      </c>
      <c r="K35" s="57">
        <f t="shared" si="18"/>
        <v>0.73422533333333329</v>
      </c>
      <c r="L35" s="57">
        <f t="shared" si="18"/>
        <v>20.073955999999999</v>
      </c>
      <c r="M35" s="57">
        <f t="shared" si="18"/>
        <v>2.3757549861111111</v>
      </c>
      <c r="N35" s="58">
        <f t="shared" si="18"/>
        <v>11.864393333333332</v>
      </c>
      <c r="O35" s="57">
        <f t="shared" si="18"/>
        <v>4.9034739444444444</v>
      </c>
      <c r="P35" s="57">
        <f t="shared" si="18"/>
        <v>3.8526365694444444</v>
      </c>
      <c r="Q35" s="58">
        <f t="shared" si="18"/>
        <v>0.63076270833333326</v>
      </c>
      <c r="R35" s="58">
        <f t="shared" si="26"/>
        <v>44.435202875000002</v>
      </c>
      <c r="S35" s="53">
        <f t="shared" si="27"/>
        <v>134.35992509722223</v>
      </c>
      <c r="T35" s="53"/>
      <c r="U35" s="41" t="s">
        <v>440</v>
      </c>
      <c r="V35" s="41">
        <v>15</v>
      </c>
      <c r="W35" s="41">
        <f>V35/3600</f>
        <v>4.1666666666666666E-3</v>
      </c>
    </row>
    <row r="36" spans="2:24">
      <c r="B36" s="60" t="s">
        <v>250</v>
      </c>
      <c r="C36" s="56">
        <f t="shared" si="28"/>
        <v>83.908333333333331</v>
      </c>
      <c r="D36" s="53">
        <f t="shared" si="19"/>
        <v>2.4333333333333331</v>
      </c>
      <c r="E36" s="53">
        <f t="shared" si="20"/>
        <v>8.3863888888888898</v>
      </c>
      <c r="F36" s="55">
        <f t="shared" si="21"/>
        <v>10.819722222222223</v>
      </c>
      <c r="G36" s="53">
        <f t="shared" si="22"/>
        <v>12.149444444444445</v>
      </c>
      <c r="H36" s="53">
        <f t="shared" si="23"/>
        <v>5.1722222222222225</v>
      </c>
      <c r="I36" s="56">
        <f t="shared" si="24"/>
        <v>17.321666666666665</v>
      </c>
      <c r="J36" s="56">
        <f t="shared" si="25"/>
        <v>112.04972222222221</v>
      </c>
      <c r="K36" s="57">
        <f t="shared" si="18"/>
        <v>1.0343433333333334</v>
      </c>
      <c r="L36" s="57">
        <f t="shared" si="18"/>
        <v>13.678530444444444</v>
      </c>
      <c r="M36" s="57">
        <f t="shared" si="18"/>
        <v>0.63214899999999996</v>
      </c>
      <c r="N36" s="58">
        <f t="shared" si="18"/>
        <v>1.9677419999999999</v>
      </c>
      <c r="O36" s="57">
        <f t="shared" si="18"/>
        <v>6.0851414166666666</v>
      </c>
      <c r="P36" s="57">
        <f t="shared" si="18"/>
        <v>0</v>
      </c>
      <c r="Q36" s="58">
        <f t="shared" si="18"/>
        <v>0.78259465277777773</v>
      </c>
      <c r="R36" s="58">
        <f t="shared" si="26"/>
        <v>24.180500847222223</v>
      </c>
      <c r="S36" s="53">
        <f t="shared" si="27"/>
        <v>136.23022306944443</v>
      </c>
      <c r="T36" s="53"/>
      <c r="U36" s="41" t="s">
        <v>543</v>
      </c>
      <c r="W36" s="41">
        <f>2500/1000000</f>
        <v>2.5000000000000001E-3</v>
      </c>
      <c r="X36" s="41" t="s">
        <v>545</v>
      </c>
    </row>
    <row r="37" spans="2:24">
      <c r="B37" s="60" t="s">
        <v>59</v>
      </c>
      <c r="C37" s="56">
        <f t="shared" si="28"/>
        <v>59.470833333333331</v>
      </c>
      <c r="D37" s="53">
        <f t="shared" si="19"/>
        <v>2.5499999999999998</v>
      </c>
      <c r="E37" s="53">
        <f t="shared" si="20"/>
        <v>8.5077777777777772</v>
      </c>
      <c r="F37" s="55">
        <f t="shared" si="21"/>
        <v>11.057777777777776</v>
      </c>
      <c r="G37" s="53">
        <f t="shared" si="22"/>
        <v>12.735277777777778</v>
      </c>
      <c r="H37" s="53">
        <f t="shared" si="23"/>
        <v>5.4255555555555555</v>
      </c>
      <c r="I37" s="56">
        <f t="shared" si="24"/>
        <v>18.160833333333333</v>
      </c>
      <c r="J37" s="56">
        <f t="shared" si="25"/>
        <v>88.689444444444433</v>
      </c>
      <c r="K37" s="57">
        <f t="shared" si="18"/>
        <v>1.0124644444444444</v>
      </c>
      <c r="L37" s="57">
        <f t="shared" si="18"/>
        <v>11.619047999999999</v>
      </c>
      <c r="M37" s="57">
        <f t="shared" si="18"/>
        <v>0.81401726388888884</v>
      </c>
      <c r="N37" s="58">
        <f t="shared" si="18"/>
        <v>1.1601846666666666</v>
      </c>
      <c r="O37" s="57">
        <f t="shared" si="18"/>
        <v>6.3787334722222218</v>
      </c>
      <c r="P37" s="57">
        <f t="shared" si="18"/>
        <v>0</v>
      </c>
      <c r="Q37" s="58">
        <f t="shared" si="18"/>
        <v>0.82022256944444438</v>
      </c>
      <c r="R37" s="58">
        <f t="shared" si="26"/>
        <v>21.804670416666664</v>
      </c>
      <c r="S37" s="53">
        <f t="shared" si="27"/>
        <v>110.4941148611111</v>
      </c>
      <c r="T37" s="53"/>
      <c r="U37" s="41" t="s">
        <v>544</v>
      </c>
      <c r="W37" s="41">
        <f>1800/1000000</f>
        <v>1.8E-3</v>
      </c>
      <c r="X37" s="41" t="s">
        <v>545</v>
      </c>
    </row>
    <row r="38" spans="2:24">
      <c r="B38" s="60" t="s">
        <v>60</v>
      </c>
      <c r="C38" s="56">
        <f t="shared" si="28"/>
        <v>97.5625</v>
      </c>
      <c r="D38" s="53">
        <f t="shared" si="19"/>
        <v>3.4874999999999998</v>
      </c>
      <c r="E38" s="53">
        <f t="shared" si="20"/>
        <v>10.977777777777778</v>
      </c>
      <c r="F38" s="55">
        <f t="shared" si="21"/>
        <v>14.465277777777779</v>
      </c>
      <c r="G38" s="53">
        <f t="shared" si="22"/>
        <v>17.416666666666668</v>
      </c>
      <c r="H38" s="53">
        <f t="shared" si="23"/>
        <v>7.4152777777777779</v>
      </c>
      <c r="I38" s="56">
        <f t="shared" si="24"/>
        <v>24.831944444444446</v>
      </c>
      <c r="J38" s="56">
        <f t="shared" si="25"/>
        <v>136.85972222222222</v>
      </c>
      <c r="K38" s="57">
        <f t="shared" si="18"/>
        <v>0.8762117777777777</v>
      </c>
      <c r="L38" s="57">
        <f t="shared" si="18"/>
        <v>4.0143988888888886</v>
      </c>
      <c r="M38" s="57">
        <f t="shared" si="18"/>
        <v>1.0614656111111112</v>
      </c>
      <c r="N38" s="58">
        <f t="shared" si="18"/>
        <v>0.52690399999999993</v>
      </c>
      <c r="O38" s="57">
        <f t="shared" si="18"/>
        <v>8.7226037499999993</v>
      </c>
      <c r="P38" s="57">
        <f t="shared" si="18"/>
        <v>0</v>
      </c>
      <c r="Q38" s="58">
        <f t="shared" si="18"/>
        <v>1.1219060416666666</v>
      </c>
      <c r="R38" s="58">
        <f t="shared" si="26"/>
        <v>16.323490069444443</v>
      </c>
      <c r="S38" s="53">
        <f t="shared" si="27"/>
        <v>153.18321229166665</v>
      </c>
      <c r="T38" s="53"/>
      <c r="U38" s="41" t="s">
        <v>573</v>
      </c>
      <c r="W38" s="41">
        <f>((D46+D46)/SUM(C46:D47))*W36+((D47+D47)/SUM(C46:D47))*W37</f>
        <v>2.4096023339887107E-3</v>
      </c>
      <c r="X38" s="41" t="s">
        <v>574</v>
      </c>
    </row>
    <row r="39" spans="2:24">
      <c r="B39" s="60" t="s">
        <v>251</v>
      </c>
      <c r="C39" s="56">
        <f t="shared" si="28"/>
        <v>83.620833333333337</v>
      </c>
      <c r="D39" s="53">
        <f t="shared" si="19"/>
        <v>1.6416666666666666</v>
      </c>
      <c r="E39" s="53">
        <f t="shared" si="20"/>
        <v>5.6630555555555553</v>
      </c>
      <c r="F39" s="55">
        <f t="shared" si="21"/>
        <v>7.3047222222222219</v>
      </c>
      <c r="G39" s="53">
        <f t="shared" si="22"/>
        <v>8.1858333333333331</v>
      </c>
      <c r="H39" s="53">
        <f t="shared" si="23"/>
        <v>3.4886111111111111</v>
      </c>
      <c r="I39" s="56">
        <f t="shared" si="24"/>
        <v>11.674444444444443</v>
      </c>
      <c r="J39" s="56">
        <f t="shared" si="25"/>
        <v>102.60000000000001</v>
      </c>
      <c r="K39" s="57">
        <f t="shared" si="18"/>
        <v>0.63901444444444444</v>
      </c>
      <c r="L39" s="57">
        <f t="shared" si="18"/>
        <v>27.463890222222222</v>
      </c>
      <c r="M39" s="57">
        <f t="shared" si="18"/>
        <v>1.1566104861111111</v>
      </c>
      <c r="N39" s="58">
        <f t="shared" si="18"/>
        <v>6.4749439999999998</v>
      </c>
      <c r="O39" s="57">
        <f t="shared" si="18"/>
        <v>4.0997454166666669</v>
      </c>
      <c r="P39" s="57">
        <f t="shared" si="18"/>
        <v>0</v>
      </c>
      <c r="Q39" s="58">
        <f t="shared" si="18"/>
        <v>0.52745097222222215</v>
      </c>
      <c r="R39" s="58">
        <f t="shared" si="26"/>
        <v>40.361655541666664</v>
      </c>
      <c r="S39" s="53">
        <f t="shared" si="27"/>
        <v>142.96165554166669</v>
      </c>
      <c r="T39" s="53"/>
    </row>
    <row r="40" spans="2:24" ht="15.75" thickBot="1">
      <c r="B40" s="63" t="s">
        <v>61</v>
      </c>
      <c r="C40" s="56">
        <f t="shared" si="28"/>
        <v>87.287499999999994</v>
      </c>
      <c r="D40" s="53">
        <f t="shared" si="19"/>
        <v>1.3833333333333333</v>
      </c>
      <c r="E40" s="53">
        <f t="shared" si="20"/>
        <v>4.9030555555555555</v>
      </c>
      <c r="F40" s="55">
        <f t="shared" si="21"/>
        <v>6.2863888888888884</v>
      </c>
      <c r="G40" s="53">
        <f t="shared" si="22"/>
        <v>6.908611111111111</v>
      </c>
      <c r="H40" s="53">
        <f t="shared" si="23"/>
        <v>2.9397222222222221</v>
      </c>
      <c r="I40" s="56">
        <f t="shared" si="24"/>
        <v>9.8483333333333327</v>
      </c>
      <c r="J40" s="56">
        <f t="shared" si="25"/>
        <v>103.42222222222222</v>
      </c>
      <c r="K40" s="57">
        <f t="shared" si="18"/>
        <v>1.7094202222222221</v>
      </c>
      <c r="L40" s="57">
        <f t="shared" si="18"/>
        <v>8.9736639999999994</v>
      </c>
      <c r="M40" s="57">
        <f t="shared" si="18"/>
        <v>0.73195256944444442</v>
      </c>
      <c r="N40" s="58">
        <f t="shared" si="18"/>
        <v>0.38295599999999996</v>
      </c>
      <c r="O40" s="57">
        <f t="shared" si="18"/>
        <v>3.4598445</v>
      </c>
      <c r="P40" s="57">
        <f t="shared" si="18"/>
        <v>6.142318875</v>
      </c>
      <c r="Q40" s="58">
        <f t="shared" si="18"/>
        <v>0.44493361111111107</v>
      </c>
      <c r="R40" s="58">
        <f t="shared" si="26"/>
        <v>21.84508977777778</v>
      </c>
      <c r="S40" s="53">
        <f t="shared" si="27"/>
        <v>125.267312</v>
      </c>
      <c r="T40" s="53"/>
      <c r="U40" s="41" t="s">
        <v>441</v>
      </c>
    </row>
    <row r="41" spans="2:24" ht="15.75" thickBot="1">
      <c r="B41" s="64" t="s">
        <v>223</v>
      </c>
      <c r="C41" s="65">
        <f t="shared" ref="C41:I41" si="29">SUM(C33:C40)</f>
        <v>549.82083333333333</v>
      </c>
      <c r="D41" s="67">
        <f t="shared" si="29"/>
        <v>19.962499999999999</v>
      </c>
      <c r="E41" s="67">
        <f t="shared" si="29"/>
        <v>66.188611111111115</v>
      </c>
      <c r="F41" s="68">
        <f t="shared" si="29"/>
        <v>86.151111111111121</v>
      </c>
      <c r="G41" s="66">
        <f t="shared" si="29"/>
        <v>99.649722222222238</v>
      </c>
      <c r="H41" s="67">
        <f t="shared" si="29"/>
        <v>42.43333333333333</v>
      </c>
      <c r="I41" s="68">
        <f t="shared" si="29"/>
        <v>142.08305555555555</v>
      </c>
      <c r="J41" s="68">
        <f>C41+F41+I41</f>
        <v>778.05500000000006</v>
      </c>
      <c r="K41" s="66">
        <f t="shared" ref="K41:Q41" si="30">SUM(K33:K40)</f>
        <v>6.4456715555555544</v>
      </c>
      <c r="L41" s="67">
        <f t="shared" si="30"/>
        <v>109.24431</v>
      </c>
      <c r="M41" s="67">
        <f t="shared" si="30"/>
        <v>11.933425000000002</v>
      </c>
      <c r="N41" s="69">
        <f t="shared" si="30"/>
        <v>26.130635999999999</v>
      </c>
      <c r="O41" s="66">
        <f t="shared" si="30"/>
        <v>49.912271499999996</v>
      </c>
      <c r="P41" s="67">
        <f t="shared" si="30"/>
        <v>10.001047583333333</v>
      </c>
      <c r="Q41" s="69">
        <f t="shared" si="30"/>
        <v>6.419190555555554</v>
      </c>
      <c r="R41" s="69">
        <f>SUM(K41:Q41)</f>
        <v>220.08655219444444</v>
      </c>
      <c r="S41" s="53">
        <f t="shared" si="27"/>
        <v>998.14155219444456</v>
      </c>
      <c r="T41" s="53"/>
      <c r="U41" s="41" t="s">
        <v>442</v>
      </c>
      <c r="V41" s="41">
        <f>33.95*1000/3600</f>
        <v>9.4305555555555554</v>
      </c>
      <c r="W41" s="41" t="s">
        <v>387</v>
      </c>
    </row>
    <row r="42" spans="2:24">
      <c r="V42" s="41">
        <f>V41/1000000</f>
        <v>9.4305555555555551E-6</v>
      </c>
      <c r="W42" s="41" t="s">
        <v>29</v>
      </c>
    </row>
    <row r="43" spans="2:24">
      <c r="B43" s="70" t="s">
        <v>546</v>
      </c>
    </row>
    <row r="45" spans="2:24">
      <c r="B45" s="71" t="s">
        <v>547</v>
      </c>
      <c r="C45" s="71" t="s">
        <v>548</v>
      </c>
      <c r="D45" s="71" t="s">
        <v>549</v>
      </c>
    </row>
    <row r="46" spans="2:24">
      <c r="B46" s="41" t="s">
        <v>550</v>
      </c>
      <c r="C46" s="41">
        <v>4996</v>
      </c>
      <c r="D46" s="41">
        <v>6391</v>
      </c>
    </row>
    <row r="47" spans="2:24">
      <c r="B47" s="41" t="s">
        <v>551</v>
      </c>
      <c r="C47" s="41">
        <v>2703</v>
      </c>
      <c r="D47" s="41">
        <v>1677</v>
      </c>
    </row>
    <row r="48" spans="2:24">
      <c r="B48" s="41" t="s">
        <v>552</v>
      </c>
      <c r="C48" s="41">
        <v>807</v>
      </c>
      <c r="D48" s="41">
        <v>537</v>
      </c>
    </row>
    <row r="49" spans="2:16">
      <c r="B49" s="41" t="s">
        <v>555</v>
      </c>
      <c r="C49" s="41">
        <v>221</v>
      </c>
      <c r="D49" s="41">
        <v>169</v>
      </c>
    </row>
    <row r="50" spans="2:16">
      <c r="B50" s="41" t="s">
        <v>553</v>
      </c>
      <c r="C50" s="41">
        <v>702</v>
      </c>
      <c r="D50" s="41">
        <v>1164</v>
      </c>
    </row>
    <row r="51" spans="2:16">
      <c r="C51" s="41">
        <f>SUM(C46:C50)</f>
        <v>9429</v>
      </c>
      <c r="D51" s="41">
        <f>SUM(D46:D50)</f>
        <v>9938</v>
      </c>
    </row>
    <row r="52" spans="2:16">
      <c r="B52" s="41" t="s">
        <v>554</v>
      </c>
    </row>
    <row r="54" spans="2:16">
      <c r="B54" s="41" t="s">
        <v>556</v>
      </c>
    </row>
    <row r="55" spans="2:16">
      <c r="B55" s="41" t="s">
        <v>571</v>
      </c>
      <c r="C55" s="86"/>
    </row>
    <row r="56" spans="2:16">
      <c r="B56" s="41" t="s">
        <v>575</v>
      </c>
    </row>
    <row r="57" spans="2:16" s="87" customFormat="1" ht="90">
      <c r="B57" s="90" t="s">
        <v>557</v>
      </c>
      <c r="C57" s="87" t="s">
        <v>559</v>
      </c>
      <c r="D57" s="87" t="s">
        <v>560</v>
      </c>
      <c r="E57" s="87" t="s">
        <v>561</v>
      </c>
      <c r="F57" s="87" t="s">
        <v>562</v>
      </c>
      <c r="G57" s="87" t="s">
        <v>563</v>
      </c>
      <c r="H57" s="87" t="s">
        <v>448</v>
      </c>
      <c r="I57" s="87" t="s">
        <v>564</v>
      </c>
      <c r="J57" s="87" t="s">
        <v>565</v>
      </c>
      <c r="K57" s="87" t="s">
        <v>566</v>
      </c>
      <c r="L57" s="87" t="s">
        <v>567</v>
      </c>
      <c r="M57" s="87" t="s">
        <v>572</v>
      </c>
      <c r="N57" s="87" t="s">
        <v>568</v>
      </c>
      <c r="O57" s="87" t="s">
        <v>569</v>
      </c>
      <c r="P57" s="87" t="s">
        <v>570</v>
      </c>
    </row>
    <row r="58" spans="2:16">
      <c r="B58" s="91" t="s">
        <v>227</v>
      </c>
      <c r="C58" s="86" t="s">
        <v>550</v>
      </c>
      <c r="D58" s="86">
        <f>C46+(0.5*SUM(C48:C50))</f>
        <v>5861</v>
      </c>
      <c r="E58" s="86">
        <v>4</v>
      </c>
      <c r="F58" s="86">
        <f>D58*E58</f>
        <v>23444</v>
      </c>
      <c r="G58" s="88">
        <v>0.7</v>
      </c>
      <c r="H58" s="78">
        <f>F58*G58</f>
        <v>16410.8</v>
      </c>
      <c r="I58" s="86">
        <v>1.1000000000000001</v>
      </c>
      <c r="J58" s="78">
        <f>H58*I58</f>
        <v>18051.88</v>
      </c>
      <c r="K58" s="88">
        <v>0.8</v>
      </c>
      <c r="L58" s="89">
        <f>J58*K58</f>
        <v>14441.504000000001</v>
      </c>
      <c r="M58" s="86">
        <v>2500</v>
      </c>
      <c r="N58" s="89">
        <f>L58*M58/1000000</f>
        <v>36.103760000000001</v>
      </c>
      <c r="O58" s="88">
        <v>0.2</v>
      </c>
      <c r="P58" s="89">
        <f>N58*O58</f>
        <v>7.2207520000000009</v>
      </c>
    </row>
    <row r="59" spans="2:16">
      <c r="B59" s="91" t="s">
        <v>227</v>
      </c>
      <c r="C59" s="86" t="s">
        <v>551</v>
      </c>
      <c r="D59" s="86">
        <f>C47+(0.5*SUM(C48:C50))</f>
        <v>3568</v>
      </c>
      <c r="E59" s="86">
        <v>16</v>
      </c>
      <c r="F59" s="86">
        <f>D59*E59</f>
        <v>57088</v>
      </c>
      <c r="G59" s="88">
        <v>0.7</v>
      </c>
      <c r="H59" s="78">
        <f>F59*G59</f>
        <v>39961.599999999999</v>
      </c>
      <c r="I59" s="86">
        <v>1.1000000000000001</v>
      </c>
      <c r="J59" s="78">
        <f>H59*I59</f>
        <v>43957.760000000002</v>
      </c>
      <c r="K59" s="88">
        <v>0.5</v>
      </c>
      <c r="L59" s="89">
        <f>J59*K59</f>
        <v>21978.880000000001</v>
      </c>
      <c r="M59" s="86">
        <v>1800</v>
      </c>
      <c r="N59" s="89">
        <f>L59*M59/1000000</f>
        <v>39.561984000000002</v>
      </c>
      <c r="O59" s="88">
        <v>0.2</v>
      </c>
      <c r="P59" s="89">
        <f>N59*O59</f>
        <v>7.9123968000000007</v>
      </c>
    </row>
    <row r="60" spans="2:16">
      <c r="B60" s="91" t="s">
        <v>558</v>
      </c>
      <c r="C60" s="86" t="s">
        <v>550</v>
      </c>
      <c r="D60" s="86">
        <f>D46+(0.5*SUM(D48:D50))</f>
        <v>7326</v>
      </c>
      <c r="E60" s="86">
        <v>4</v>
      </c>
      <c r="F60" s="86">
        <f>D60*E60</f>
        <v>29304</v>
      </c>
      <c r="G60" s="88">
        <v>0.7</v>
      </c>
      <c r="H60" s="78">
        <f>F60*G60</f>
        <v>20512.8</v>
      </c>
      <c r="I60" s="86">
        <v>1.1000000000000001</v>
      </c>
      <c r="J60" s="78">
        <f>H60*I60</f>
        <v>22564.080000000002</v>
      </c>
      <c r="K60" s="88">
        <v>0.8</v>
      </c>
      <c r="L60" s="89">
        <f>J60*K60</f>
        <v>18051.264000000003</v>
      </c>
      <c r="M60" s="86">
        <v>2500</v>
      </c>
      <c r="N60" s="89">
        <f>L60*M60/1000000</f>
        <v>45.128160000000008</v>
      </c>
      <c r="O60" s="88">
        <v>0.2</v>
      </c>
      <c r="P60" s="89">
        <f>N60*O60</f>
        <v>9.0256320000000017</v>
      </c>
    </row>
    <row r="61" spans="2:16">
      <c r="B61" s="91" t="s">
        <v>558</v>
      </c>
      <c r="C61" s="86" t="s">
        <v>551</v>
      </c>
      <c r="D61" s="86">
        <f>D47+(0.5*SUM(D48:D50))</f>
        <v>2612</v>
      </c>
      <c r="E61" s="86">
        <v>16</v>
      </c>
      <c r="F61" s="86">
        <f>D61*E61</f>
        <v>41792</v>
      </c>
      <c r="G61" s="88">
        <v>0.7</v>
      </c>
      <c r="H61" s="78">
        <f>F61*G61</f>
        <v>29254.399999999998</v>
      </c>
      <c r="I61" s="86">
        <v>1.1000000000000001</v>
      </c>
      <c r="J61" s="78">
        <f>H61*I61</f>
        <v>32179.84</v>
      </c>
      <c r="K61" s="88">
        <v>0.5</v>
      </c>
      <c r="L61" s="89">
        <f>J61*K61</f>
        <v>16089.92</v>
      </c>
      <c r="M61" s="86">
        <v>1800</v>
      </c>
      <c r="N61" s="89">
        <f>L61*M61/1000000</f>
        <v>28.961856000000001</v>
      </c>
      <c r="O61" s="88">
        <v>0.2</v>
      </c>
      <c r="P61" s="89">
        <f>N61*O61</f>
        <v>5.7923712000000007</v>
      </c>
    </row>
    <row r="62" spans="2:16">
      <c r="B62" s="41" t="s">
        <v>223</v>
      </c>
      <c r="D62" s="86">
        <f>SUM(D58:D61)</f>
        <v>19367</v>
      </c>
      <c r="E62" s="86"/>
      <c r="F62" s="86">
        <f t="shared" ref="F62:P62" si="31">SUM(F58:F61)</f>
        <v>151628</v>
      </c>
      <c r="G62" s="88"/>
      <c r="H62" s="78">
        <f t="shared" si="31"/>
        <v>106139.59999999999</v>
      </c>
      <c r="I62" s="86"/>
      <c r="J62" s="78">
        <f t="shared" si="31"/>
        <v>116753.56</v>
      </c>
      <c r="K62" s="88"/>
      <c r="L62" s="89">
        <f t="shared" si="31"/>
        <v>70561.568000000014</v>
      </c>
      <c r="M62" s="86"/>
      <c r="N62" s="89">
        <f t="shared" si="31"/>
        <v>149.75576000000001</v>
      </c>
      <c r="O62" s="88"/>
      <c r="P62" s="89">
        <f t="shared" si="31"/>
        <v>29.951152000000004</v>
      </c>
    </row>
    <row r="64" spans="2:16">
      <c r="B64" s="41" t="s">
        <v>576</v>
      </c>
    </row>
    <row r="65" spans="2:19">
      <c r="B65" s="41" t="s">
        <v>577</v>
      </c>
      <c r="C65" s="41">
        <v>39734</v>
      </c>
    </row>
    <row r="66" spans="2:19">
      <c r="B66" s="41" t="s">
        <v>586</v>
      </c>
      <c r="C66" s="41">
        <v>86779</v>
      </c>
    </row>
    <row r="67" spans="2:19">
      <c r="B67" s="41" t="s">
        <v>581</v>
      </c>
      <c r="C67" s="41">
        <v>7050</v>
      </c>
      <c r="D67" s="73">
        <f>C67/C66</f>
        <v>8.12408532018115E-2</v>
      </c>
    </row>
    <row r="68" spans="2:19">
      <c r="B68" s="41" t="s">
        <v>578</v>
      </c>
      <c r="C68" s="41">
        <v>129830</v>
      </c>
      <c r="D68" s="73"/>
    </row>
    <row r="69" spans="2:19">
      <c r="B69" s="41" t="s">
        <v>579</v>
      </c>
      <c r="C69" s="41">
        <v>16441</v>
      </c>
      <c r="D69" s="73">
        <f>C69/C68</f>
        <v>0.12663483016252022</v>
      </c>
    </row>
    <row r="70" spans="2:19">
      <c r="B70" s="41" t="s">
        <v>587</v>
      </c>
      <c r="C70" s="41">
        <v>55000</v>
      </c>
      <c r="D70" s="73"/>
    </row>
    <row r="71" spans="2:19">
      <c r="B71" s="41" t="s">
        <v>580</v>
      </c>
      <c r="C71" s="41">
        <v>16243</v>
      </c>
      <c r="D71" s="73">
        <f>C71/C70</f>
        <v>0.29532727272727272</v>
      </c>
    </row>
    <row r="72" spans="2:19">
      <c r="D72" s="73"/>
    </row>
    <row r="73" spans="2:19">
      <c r="B73" s="41" t="s">
        <v>588</v>
      </c>
      <c r="C73" s="41">
        <v>26000</v>
      </c>
      <c r="D73" s="73" t="s">
        <v>323</v>
      </c>
      <c r="E73" s="41" t="s">
        <v>592</v>
      </c>
    </row>
    <row r="74" spans="2:19">
      <c r="B74" s="41" t="s">
        <v>589</v>
      </c>
      <c r="C74" s="41">
        <v>68018</v>
      </c>
      <c r="D74" s="73" t="s">
        <v>323</v>
      </c>
      <c r="E74" s="41" t="s">
        <v>590</v>
      </c>
    </row>
    <row r="75" spans="2:19">
      <c r="C75" s="41">
        <f>C73/C74</f>
        <v>0.3822517568878826</v>
      </c>
      <c r="D75" s="73" t="s">
        <v>591</v>
      </c>
    </row>
    <row r="76" spans="2:19">
      <c r="D76" s="73"/>
    </row>
    <row r="77" spans="2:19">
      <c r="B77" s="71" t="s">
        <v>595</v>
      </c>
      <c r="D77" s="73"/>
    </row>
    <row r="78" spans="2:19" ht="15.75" thickBot="1"/>
    <row r="79" spans="2:19" ht="24.75" customHeight="1" thickBot="1">
      <c r="B79" s="142" t="s">
        <v>393</v>
      </c>
      <c r="C79" s="85" t="s">
        <v>541</v>
      </c>
      <c r="D79" s="145" t="s">
        <v>429</v>
      </c>
      <c r="E79" s="146"/>
      <c r="F79" s="146"/>
      <c r="G79" s="146"/>
      <c r="H79" s="146"/>
      <c r="I79" s="146"/>
      <c r="J79" s="147" t="s">
        <v>430</v>
      </c>
      <c r="K79" s="136" t="s">
        <v>431</v>
      </c>
      <c r="L79" s="136"/>
      <c r="M79" s="136"/>
      <c r="N79" s="137"/>
      <c r="O79" s="135" t="s">
        <v>432</v>
      </c>
      <c r="P79" s="136"/>
      <c r="Q79" s="137"/>
      <c r="R79" s="138" t="s">
        <v>399</v>
      </c>
      <c r="S79" s="85" t="s">
        <v>223</v>
      </c>
    </row>
    <row r="80" spans="2:19" ht="15" customHeight="1">
      <c r="B80" s="143"/>
      <c r="C80" s="44"/>
      <c r="D80" s="135" t="s">
        <v>400</v>
      </c>
      <c r="E80" s="136"/>
      <c r="F80" s="136"/>
      <c r="G80" s="45"/>
      <c r="H80" s="42" t="s">
        <v>401</v>
      </c>
      <c r="I80" s="42"/>
      <c r="J80" s="148"/>
      <c r="K80" s="44"/>
      <c r="L80" s="44"/>
      <c r="M80" s="44"/>
      <c r="N80" s="44"/>
      <c r="O80" s="46"/>
      <c r="P80" s="44"/>
      <c r="Q80" s="47"/>
      <c r="R80" s="139"/>
      <c r="S80" s="47"/>
    </row>
    <row r="81" spans="2:19" ht="36.75" thickBot="1">
      <c r="B81" s="144"/>
      <c r="C81" s="48"/>
      <c r="D81" s="49" t="s">
        <v>403</v>
      </c>
      <c r="E81" s="50" t="s">
        <v>404</v>
      </c>
      <c r="F81" s="50" t="s">
        <v>405</v>
      </c>
      <c r="G81" s="49" t="s">
        <v>406</v>
      </c>
      <c r="H81" s="50" t="s">
        <v>407</v>
      </c>
      <c r="I81" s="50" t="s">
        <v>408</v>
      </c>
      <c r="J81" s="149"/>
      <c r="K81" s="50" t="s">
        <v>409</v>
      </c>
      <c r="L81" s="50" t="s">
        <v>410</v>
      </c>
      <c r="M81" s="50" t="s">
        <v>411</v>
      </c>
      <c r="N81" s="50" t="s">
        <v>412</v>
      </c>
      <c r="O81" s="49" t="s">
        <v>406</v>
      </c>
      <c r="P81" s="50" t="s">
        <v>413</v>
      </c>
      <c r="Q81" s="51" t="s">
        <v>414</v>
      </c>
      <c r="R81" s="140"/>
      <c r="S81" s="51"/>
    </row>
    <row r="82" spans="2:19">
      <c r="B82" s="52" t="s">
        <v>59</v>
      </c>
      <c r="C82" s="92">
        <f t="shared" ref="C82:Q82" si="32">C37</f>
        <v>59.470833333333331</v>
      </c>
      <c r="D82" s="93">
        <f t="shared" si="32"/>
        <v>2.5499999999999998</v>
      </c>
      <c r="E82" s="93">
        <f t="shared" si="32"/>
        <v>8.5077777777777772</v>
      </c>
      <c r="F82" s="94">
        <f t="shared" si="32"/>
        <v>11.057777777777776</v>
      </c>
      <c r="G82" s="93">
        <f t="shared" si="32"/>
        <v>12.735277777777778</v>
      </c>
      <c r="H82" s="93">
        <f t="shared" si="32"/>
        <v>5.4255555555555555</v>
      </c>
      <c r="I82" s="92">
        <f t="shared" si="32"/>
        <v>18.160833333333333</v>
      </c>
      <c r="J82" s="92">
        <f t="shared" si="32"/>
        <v>88.689444444444433</v>
      </c>
      <c r="K82" s="95">
        <f t="shared" si="32"/>
        <v>1.0124644444444444</v>
      </c>
      <c r="L82" s="95">
        <f t="shared" si="32"/>
        <v>11.619047999999999</v>
      </c>
      <c r="M82" s="95">
        <f t="shared" si="32"/>
        <v>0.81401726388888884</v>
      </c>
      <c r="N82" s="96">
        <f t="shared" si="32"/>
        <v>1.1601846666666666</v>
      </c>
      <c r="O82" s="95">
        <f t="shared" si="32"/>
        <v>6.3787334722222218</v>
      </c>
      <c r="P82" s="95">
        <f t="shared" si="32"/>
        <v>0</v>
      </c>
      <c r="Q82" s="96">
        <f t="shared" si="32"/>
        <v>0.82022256944444438</v>
      </c>
      <c r="R82" s="92">
        <f>R37</f>
        <v>21.804670416666664</v>
      </c>
      <c r="S82" s="96">
        <f>J82+R82</f>
        <v>110.4941148611111</v>
      </c>
    </row>
    <row r="83" spans="2:19">
      <c r="B83" s="60" t="s">
        <v>61</v>
      </c>
      <c r="C83" s="92">
        <f>C40</f>
        <v>87.287499999999994</v>
      </c>
      <c r="D83" s="93">
        <f t="shared" ref="D83:Q83" si="33">D40</f>
        <v>1.3833333333333333</v>
      </c>
      <c r="E83" s="93">
        <f t="shared" si="33"/>
        <v>4.9030555555555555</v>
      </c>
      <c r="F83" s="94">
        <f t="shared" si="33"/>
        <v>6.2863888888888884</v>
      </c>
      <c r="G83" s="93">
        <f t="shared" si="33"/>
        <v>6.908611111111111</v>
      </c>
      <c r="H83" s="93">
        <f t="shared" si="33"/>
        <v>2.9397222222222221</v>
      </c>
      <c r="I83" s="92">
        <f t="shared" si="33"/>
        <v>9.8483333333333327</v>
      </c>
      <c r="J83" s="92">
        <f t="shared" si="33"/>
        <v>103.42222222222222</v>
      </c>
      <c r="K83" s="95">
        <f t="shared" si="33"/>
        <v>1.7094202222222221</v>
      </c>
      <c r="L83" s="95">
        <f t="shared" si="33"/>
        <v>8.9736639999999994</v>
      </c>
      <c r="M83" s="95">
        <f t="shared" si="33"/>
        <v>0.73195256944444442</v>
      </c>
      <c r="N83" s="96">
        <f t="shared" si="33"/>
        <v>0.38295599999999996</v>
      </c>
      <c r="O83" s="95">
        <f t="shared" si="33"/>
        <v>3.4598445</v>
      </c>
      <c r="P83" s="95">
        <f t="shared" si="33"/>
        <v>6.142318875</v>
      </c>
      <c r="Q83" s="96">
        <f t="shared" si="33"/>
        <v>0.44493361111111107</v>
      </c>
      <c r="R83" s="96">
        <f>R40</f>
        <v>21.84508977777778</v>
      </c>
      <c r="S83" s="96">
        <f>J83+R83</f>
        <v>125.267312</v>
      </c>
    </row>
    <row r="84" spans="2:19" ht="15.75" thickBot="1">
      <c r="B84" s="63" t="s">
        <v>227</v>
      </c>
      <c r="C84" s="92">
        <f>N58+N59</f>
        <v>75.665744000000004</v>
      </c>
      <c r="D84" s="93">
        <v>0</v>
      </c>
      <c r="E84" s="93">
        <v>0</v>
      </c>
      <c r="F84" s="94">
        <v>0</v>
      </c>
      <c r="G84" s="93">
        <f>(G82*D67)+(G83*D71)+(D69*G38)</f>
        <v>5.2804827355370749</v>
      </c>
      <c r="H84" s="93">
        <v>0</v>
      </c>
      <c r="I84" s="92">
        <f>SUM(G84:H84)</f>
        <v>5.2804827355370749</v>
      </c>
      <c r="J84" s="92">
        <f>C84+F84+I84</f>
        <v>80.946226735537081</v>
      </c>
      <c r="K84" s="95">
        <v>0</v>
      </c>
      <c r="L84" s="95">
        <v>0</v>
      </c>
      <c r="M84" s="95">
        <v>0</v>
      </c>
      <c r="N84" s="96">
        <v>0</v>
      </c>
      <c r="O84" s="95">
        <f>(O82*D67)+(O83*D71)+(D69*O38)</f>
        <v>2.6445856343319534</v>
      </c>
      <c r="P84" s="95">
        <v>0</v>
      </c>
      <c r="Q84" s="96">
        <v>0</v>
      </c>
      <c r="R84" s="96">
        <f>SUM(K84:Q84)</f>
        <v>2.6445856343319534</v>
      </c>
      <c r="S84" s="96">
        <f>J84+R84</f>
        <v>83.590812369869042</v>
      </c>
    </row>
    <row r="85" spans="2:19" ht="15.75" thickBot="1">
      <c r="B85" s="64" t="s">
        <v>223</v>
      </c>
      <c r="C85" s="97">
        <f>SUM(C82:C84)-(C75*C38)</f>
        <v>185.13064030195929</v>
      </c>
      <c r="D85" s="98">
        <f>SUM(D82:D84)</f>
        <v>3.9333333333333331</v>
      </c>
      <c r="E85" s="98">
        <f t="shared" ref="E85:P85" si="34">SUM(E82:E84)</f>
        <v>13.410833333333333</v>
      </c>
      <c r="F85" s="99">
        <f t="shared" si="34"/>
        <v>17.344166666666666</v>
      </c>
      <c r="G85" s="100">
        <f>G82+G83+(D69*G38)</f>
        <v>21.84944551421945</v>
      </c>
      <c r="H85" s="98">
        <f t="shared" si="34"/>
        <v>8.3652777777777771</v>
      </c>
      <c r="I85" s="99">
        <f>SUM(G85:H85)</f>
        <v>30.214723291997228</v>
      </c>
      <c r="J85" s="99">
        <f>C85+F85+I85</f>
        <v>232.68953026062317</v>
      </c>
      <c r="K85" s="100">
        <f t="shared" si="34"/>
        <v>2.7218846666666665</v>
      </c>
      <c r="L85" s="98">
        <f t="shared" si="34"/>
        <v>20.592711999999999</v>
      </c>
      <c r="M85" s="98">
        <f t="shared" si="34"/>
        <v>1.5459698333333334</v>
      </c>
      <c r="N85" s="101">
        <f t="shared" si="34"/>
        <v>1.5431406666666665</v>
      </c>
      <c r="O85" s="100">
        <f>O82+O83+(D69*O38)</f>
        <v>10.943163416678434</v>
      </c>
      <c r="P85" s="98">
        <f t="shared" si="34"/>
        <v>6.142318875</v>
      </c>
      <c r="Q85" s="101">
        <f>SUM(Q82:Q84)</f>
        <v>1.2651561805555556</v>
      </c>
      <c r="R85" s="101">
        <f>SUM(K85:Q85)</f>
        <v>44.754345638900659</v>
      </c>
      <c r="S85" s="97">
        <f>J85+R85</f>
        <v>277.44387589952385</v>
      </c>
    </row>
    <row r="87" spans="2:19">
      <c r="B87" s="41" t="s">
        <v>593</v>
      </c>
    </row>
    <row r="88" spans="2:19">
      <c r="B88" s="41" t="s">
        <v>594</v>
      </c>
    </row>
    <row r="89" spans="2:19">
      <c r="B89" s="41" t="s">
        <v>582</v>
      </c>
    </row>
    <row r="90" spans="2:19">
      <c r="B90" s="41" t="s">
        <v>583</v>
      </c>
    </row>
    <row r="91" spans="2:19">
      <c r="B91" s="41" t="s">
        <v>584</v>
      </c>
    </row>
    <row r="92" spans="2:19">
      <c r="B92" s="41" t="s">
        <v>585</v>
      </c>
    </row>
    <row r="94" spans="2:19">
      <c r="B94" s="71" t="s">
        <v>596</v>
      </c>
    </row>
    <row r="95" spans="2:19">
      <c r="B95" s="41" t="s">
        <v>598</v>
      </c>
    </row>
    <row r="97" spans="2:4">
      <c r="B97" s="41" t="s">
        <v>597</v>
      </c>
    </row>
    <row r="99" spans="2:4" ht="30">
      <c r="B99" s="105" t="s">
        <v>1244</v>
      </c>
      <c r="C99" s="104" t="s">
        <v>258</v>
      </c>
      <c r="D99" s="104" t="s">
        <v>236</v>
      </c>
    </row>
    <row r="100" spans="2:4">
      <c r="B100" s="102" t="s">
        <v>59</v>
      </c>
      <c r="C100" s="103">
        <f>D108*1000/0.2/8760</f>
        <v>51.509426030118831</v>
      </c>
      <c r="D100" s="103">
        <f>(C82+F82)*0.85</f>
        <v>59.949319444444434</v>
      </c>
    </row>
    <row r="101" spans="2:4">
      <c r="B101" s="102" t="s">
        <v>61</v>
      </c>
      <c r="C101" s="103">
        <f t="shared" ref="C101:C103" si="35">D109*1000/0.2/8760</f>
        <v>68.72824846451168</v>
      </c>
      <c r="D101" s="103">
        <f t="shared" ref="D101:D103" si="36">(C83+F83)*0.85</f>
        <v>79.537805555555551</v>
      </c>
    </row>
    <row r="102" spans="2:4">
      <c r="B102" s="102" t="s">
        <v>227</v>
      </c>
      <c r="C102" s="103">
        <f t="shared" si="35"/>
        <v>56.522365625179674</v>
      </c>
      <c r="D102" s="103">
        <f t="shared" si="36"/>
        <v>64.315882400000007</v>
      </c>
    </row>
    <row r="103" spans="2:4">
      <c r="B103" s="106" t="s">
        <v>223</v>
      </c>
      <c r="C103" s="103">
        <f t="shared" si="35"/>
        <v>144.15969292134901</v>
      </c>
      <c r="D103" s="103">
        <f t="shared" si="36"/>
        <v>172.10358592333205</v>
      </c>
    </row>
    <row r="105" spans="2:4">
      <c r="B105" s="41" t="s">
        <v>1245</v>
      </c>
    </row>
    <row r="107" spans="2:4" ht="30">
      <c r="B107" s="105" t="s">
        <v>599</v>
      </c>
      <c r="C107" s="104" t="s">
        <v>258</v>
      </c>
      <c r="D107" s="104" t="s">
        <v>236</v>
      </c>
    </row>
    <row r="108" spans="2:4">
      <c r="B108" s="102" t="s">
        <v>59</v>
      </c>
      <c r="C108" s="103">
        <f>C100+D219</f>
        <v>68.801203975509111</v>
      </c>
      <c r="D108" s="103">
        <f>D100+E219</f>
        <v>90.244514404768196</v>
      </c>
    </row>
    <row r="109" spans="2:4">
      <c r="B109" s="102" t="s">
        <v>61</v>
      </c>
      <c r="C109" s="103">
        <f>C101+D220</f>
        <v>92.058206086811296</v>
      </c>
      <c r="D109" s="103">
        <f>D101+E220</f>
        <v>120.41189130982447</v>
      </c>
    </row>
    <row r="110" spans="2:4">
      <c r="B110" s="102" t="s">
        <v>227</v>
      </c>
      <c r="C110" s="103">
        <f>C102+D221</f>
        <v>76.334752711546557</v>
      </c>
      <c r="D110" s="103">
        <f>D102+E221</f>
        <v>99.027184575314791</v>
      </c>
    </row>
    <row r="111" spans="2:4">
      <c r="B111" s="106" t="s">
        <v>223</v>
      </c>
      <c r="C111" s="107">
        <f>C103+D222</f>
        <v>190.08674547549936</v>
      </c>
      <c r="D111" s="107">
        <f>D103+E222</f>
        <v>252.56778199820346</v>
      </c>
    </row>
    <row r="113" spans="2:7">
      <c r="B113" s="41" t="s">
        <v>614</v>
      </c>
    </row>
    <row r="115" spans="2:7" ht="30">
      <c r="B115" s="105" t="s">
        <v>600</v>
      </c>
      <c r="C115" s="104" t="s">
        <v>76</v>
      </c>
      <c r="D115" s="104" t="s">
        <v>63</v>
      </c>
      <c r="E115" s="104" t="s">
        <v>602</v>
      </c>
      <c r="F115" s="104" t="s">
        <v>601</v>
      </c>
      <c r="G115" s="104" t="s">
        <v>437</v>
      </c>
    </row>
    <row r="116" spans="2:7">
      <c r="B116" s="102" t="s">
        <v>59</v>
      </c>
      <c r="C116" s="103">
        <f t="shared" ref="C116:D119" si="37">E116*1000/0.9/8760</f>
        <v>0.92140199560290881</v>
      </c>
      <c r="D116" s="103">
        <f t="shared" si="37"/>
        <v>0.4607009978014544</v>
      </c>
      <c r="E116" s="103">
        <f>I82*0.4</f>
        <v>7.2643333333333331</v>
      </c>
      <c r="F116" s="103">
        <f>I82*0.2</f>
        <v>3.6321666666666665</v>
      </c>
      <c r="G116" s="103">
        <f>E116+F116</f>
        <v>10.8965</v>
      </c>
    </row>
    <row r="117" spans="2:7">
      <c r="B117" s="102" t="s">
        <v>61</v>
      </c>
      <c r="C117" s="103">
        <f t="shared" si="37"/>
        <v>0.4996617622188399</v>
      </c>
      <c r="D117" s="103">
        <f t="shared" si="37"/>
        <v>0.24983088110941995</v>
      </c>
      <c r="E117" s="103">
        <f>I83*0.4</f>
        <v>3.9393333333333334</v>
      </c>
      <c r="F117" s="103">
        <f>I83*0.2</f>
        <v>1.9696666666666667</v>
      </c>
      <c r="G117" s="103">
        <f>E117+F117</f>
        <v>5.9089999999999998</v>
      </c>
    </row>
    <row r="118" spans="2:7">
      <c r="B118" s="102" t="s">
        <v>227</v>
      </c>
      <c r="C118" s="103">
        <f t="shared" si="37"/>
        <v>0.26790881458838534</v>
      </c>
      <c r="D118" s="103">
        <f t="shared" si="37"/>
        <v>0.13395440729419267</v>
      </c>
      <c r="E118" s="103">
        <f>I84*0.4</f>
        <v>2.1121930942148301</v>
      </c>
      <c r="F118" s="103">
        <f>I84*0.2</f>
        <v>1.0560965471074151</v>
      </c>
      <c r="G118" s="103">
        <f>E118+F118</f>
        <v>3.1682896413222452</v>
      </c>
    </row>
    <row r="119" spans="2:7">
      <c r="B119" s="106" t="s">
        <v>223</v>
      </c>
      <c r="C119" s="107">
        <f t="shared" si="37"/>
        <v>1.532964144697982</v>
      </c>
      <c r="D119" s="107">
        <f t="shared" si="37"/>
        <v>0.76648207234899102</v>
      </c>
      <c r="E119" s="107">
        <f>I85*0.4</f>
        <v>12.085889316798891</v>
      </c>
      <c r="F119" s="107">
        <f>I85*0.2</f>
        <v>6.0429446583994455</v>
      </c>
      <c r="G119" s="107">
        <f>E119+F119</f>
        <v>18.128833975198337</v>
      </c>
    </row>
    <row r="121" spans="2:7">
      <c r="B121" s="41" t="s">
        <v>604</v>
      </c>
    </row>
    <row r="123" spans="2:7" ht="30">
      <c r="B123" s="105" t="s">
        <v>603</v>
      </c>
      <c r="C123" s="104" t="s">
        <v>76</v>
      </c>
      <c r="D123" s="104" t="s">
        <v>63</v>
      </c>
      <c r="E123" s="104" t="s">
        <v>602</v>
      </c>
      <c r="F123" s="104" t="s">
        <v>605</v>
      </c>
      <c r="G123" s="104" t="s">
        <v>437</v>
      </c>
    </row>
    <row r="124" spans="2:7">
      <c r="B124" s="102" t="s">
        <v>59</v>
      </c>
      <c r="C124" s="103">
        <f t="shared" ref="C124:D127" si="38">E124*1000/0.9/8760</f>
        <v>0.66376470065956361</v>
      </c>
      <c r="D124" s="103">
        <f t="shared" si="38"/>
        <v>0.55313725054963636</v>
      </c>
      <c r="E124" s="103">
        <f>R82*0.24</f>
        <v>5.2331208999999994</v>
      </c>
      <c r="F124" s="103">
        <f>R82*0.2</f>
        <v>4.3609340833333325</v>
      </c>
      <c r="G124" s="103">
        <f>E124+F124</f>
        <v>9.5940549833333328</v>
      </c>
    </row>
    <row r="125" spans="2:7">
      <c r="B125" s="102" t="s">
        <v>61</v>
      </c>
      <c r="C125" s="103">
        <f t="shared" si="38"/>
        <v>0.66499512261119575</v>
      </c>
      <c r="D125" s="103">
        <f t="shared" si="38"/>
        <v>0.55416260217599644</v>
      </c>
      <c r="E125" s="103">
        <f>R83*0.24</f>
        <v>5.2428215466666668</v>
      </c>
      <c r="F125" s="103">
        <f>R83*0.2</f>
        <v>4.3690179555555559</v>
      </c>
      <c r="G125" s="103">
        <f>E125+F125</f>
        <v>9.6118395022222227</v>
      </c>
    </row>
    <row r="126" spans="2:7">
      <c r="B126" s="102" t="s">
        <v>227</v>
      </c>
      <c r="C126" s="103">
        <f t="shared" si="38"/>
        <v>8.0504889934001622E-2</v>
      </c>
      <c r="D126" s="103">
        <f t="shared" si="38"/>
        <v>6.708740827833469E-2</v>
      </c>
      <c r="E126" s="103">
        <f>R84*0.24</f>
        <v>0.63470055223966881</v>
      </c>
      <c r="F126" s="103">
        <f>R84*0.2</f>
        <v>0.5289171268663907</v>
      </c>
      <c r="G126" s="103">
        <f>E126+F126</f>
        <v>1.1636176791060595</v>
      </c>
    </row>
    <row r="127" spans="2:7">
      <c r="B127" s="106" t="s">
        <v>223</v>
      </c>
      <c r="C127" s="107">
        <f t="shared" si="38"/>
        <v>1.3623849509558801</v>
      </c>
      <c r="D127" s="107">
        <f t="shared" si="38"/>
        <v>1.1353207924632334</v>
      </c>
      <c r="E127" s="103">
        <f>R85*0.24</f>
        <v>10.741042953336159</v>
      </c>
      <c r="F127" s="103">
        <f>R85*0.2</f>
        <v>8.9508691277801322</v>
      </c>
      <c r="G127" s="107">
        <f>E127+F127</f>
        <v>19.691912081116293</v>
      </c>
    </row>
    <row r="128" spans="2:7">
      <c r="B128" s="163"/>
      <c r="C128" s="164"/>
      <c r="D128" s="164"/>
      <c r="E128" s="165"/>
      <c r="F128" s="165"/>
      <c r="G128" s="164"/>
    </row>
    <row r="129" spans="2:19">
      <c r="B129" s="166" t="s">
        <v>1252</v>
      </c>
      <c r="C129" s="164"/>
      <c r="D129" s="164"/>
      <c r="E129" s="165"/>
      <c r="F129" s="165"/>
      <c r="G129" s="164"/>
    </row>
    <row r="130" spans="2:19">
      <c r="B130" s="167" t="s">
        <v>1253</v>
      </c>
      <c r="C130" s="164"/>
      <c r="D130" s="164"/>
      <c r="E130" s="165"/>
      <c r="F130" s="165"/>
      <c r="G130" s="164"/>
    </row>
    <row r="131" spans="2:19">
      <c r="B131" s="167" t="s">
        <v>1254</v>
      </c>
      <c r="C131" s="164"/>
      <c r="D131" s="164"/>
      <c r="E131" s="165"/>
      <c r="F131" s="165"/>
      <c r="G131" s="164"/>
    </row>
    <row r="132" spans="2:19">
      <c r="B132" s="167" t="s">
        <v>1255</v>
      </c>
      <c r="C132" s="164"/>
      <c r="D132" s="164"/>
      <c r="E132" s="165"/>
      <c r="F132" s="165"/>
      <c r="G132" s="164"/>
    </row>
    <row r="133" spans="2:19">
      <c r="B133" s="167" t="s">
        <v>1256</v>
      </c>
      <c r="C133" s="164"/>
      <c r="D133" s="164"/>
      <c r="E133" s="165"/>
      <c r="F133" s="165"/>
      <c r="G133" s="164"/>
    </row>
    <row r="134" spans="2:19">
      <c r="B134" s="167" t="s">
        <v>1257</v>
      </c>
      <c r="C134" s="164"/>
      <c r="D134" s="164"/>
      <c r="E134" s="165"/>
      <c r="F134" s="165"/>
      <c r="G134" s="164"/>
    </row>
    <row r="135" spans="2:19">
      <c r="B135" s="167" t="s">
        <v>1258</v>
      </c>
      <c r="C135" s="169">
        <v>309900</v>
      </c>
      <c r="D135" s="169" t="s">
        <v>1259</v>
      </c>
      <c r="E135" s="169"/>
      <c r="F135" s="169"/>
      <c r="G135" s="169"/>
      <c r="H135" s="168"/>
      <c r="I135" s="168"/>
      <c r="J135" s="168"/>
      <c r="K135" s="168"/>
      <c r="L135" s="168"/>
      <c r="M135" s="168"/>
      <c r="N135" s="168"/>
      <c r="O135" s="168"/>
      <c r="P135" s="168"/>
      <c r="Q135" s="168"/>
      <c r="R135" s="168"/>
      <c r="S135" s="168"/>
    </row>
    <row r="136" spans="2:19">
      <c r="B136" s="167" t="s">
        <v>1260</v>
      </c>
      <c r="C136" s="170">
        <v>3.2</v>
      </c>
      <c r="D136" s="165" t="s">
        <v>1261</v>
      </c>
      <c r="E136" s="169"/>
      <c r="F136" s="169"/>
      <c r="G136" s="169"/>
      <c r="H136" s="168"/>
      <c r="I136" s="168"/>
      <c r="J136" s="168"/>
      <c r="K136" s="168"/>
      <c r="L136" s="168"/>
      <c r="M136" s="168"/>
      <c r="N136" s="168"/>
      <c r="O136" s="168"/>
      <c r="P136" s="168"/>
      <c r="Q136" s="168"/>
      <c r="R136" s="168"/>
      <c r="S136" s="168"/>
    </row>
    <row r="137" spans="2:19">
      <c r="B137" s="167" t="s">
        <v>1262</v>
      </c>
      <c r="C137" s="169">
        <v>227</v>
      </c>
      <c r="D137" s="165" t="s">
        <v>1263</v>
      </c>
      <c r="E137" s="169"/>
      <c r="F137" s="169"/>
      <c r="G137" s="169"/>
      <c r="H137" s="168"/>
      <c r="I137" s="168"/>
      <c r="J137" s="168"/>
      <c r="K137" s="168"/>
      <c r="L137" s="168"/>
      <c r="M137" s="168"/>
      <c r="N137" s="168"/>
      <c r="O137" s="168"/>
      <c r="P137" s="168"/>
      <c r="Q137" s="168"/>
      <c r="R137" s="168"/>
      <c r="S137" s="168"/>
    </row>
    <row r="138" spans="2:19">
      <c r="B138" s="167" t="s">
        <v>1265</v>
      </c>
      <c r="C138" s="169">
        <v>27</v>
      </c>
      <c r="D138" s="165" t="s">
        <v>21</v>
      </c>
      <c r="E138" s="169"/>
      <c r="F138" s="169"/>
      <c r="G138" s="169"/>
      <c r="H138" s="168"/>
      <c r="I138" s="168"/>
      <c r="J138" s="168"/>
      <c r="K138" s="168"/>
      <c r="L138" s="168"/>
      <c r="M138" s="168"/>
      <c r="N138" s="168"/>
      <c r="O138" s="168"/>
      <c r="P138" s="168"/>
      <c r="Q138" s="168"/>
      <c r="R138" s="168"/>
      <c r="S138" s="168"/>
    </row>
    <row r="139" spans="2:19">
      <c r="B139" s="167" t="s">
        <v>1264</v>
      </c>
      <c r="C139" s="169">
        <v>0.95</v>
      </c>
      <c r="D139" s="169"/>
      <c r="E139" s="169"/>
      <c r="F139" s="169"/>
      <c r="G139" s="169"/>
      <c r="H139" s="168"/>
      <c r="I139" s="168"/>
      <c r="J139" s="168"/>
      <c r="K139" s="168"/>
      <c r="L139" s="168"/>
      <c r="M139" s="168"/>
      <c r="N139" s="168"/>
      <c r="O139" s="168"/>
      <c r="P139" s="168"/>
      <c r="Q139" s="168"/>
      <c r="R139" s="168"/>
      <c r="S139" s="168"/>
    </row>
    <row r="140" spans="2:19">
      <c r="B140" s="167" t="s">
        <v>1266</v>
      </c>
      <c r="C140" s="169"/>
      <c r="D140" s="169"/>
      <c r="E140" s="169"/>
      <c r="F140" s="169"/>
      <c r="G140" s="169"/>
      <c r="H140" s="168"/>
      <c r="I140" s="168"/>
      <c r="J140" s="168"/>
      <c r="K140" s="168"/>
      <c r="L140" s="168"/>
      <c r="M140" s="168"/>
      <c r="N140" s="168"/>
      <c r="O140" s="168"/>
      <c r="P140" s="168"/>
      <c r="Q140" s="168"/>
      <c r="R140" s="168"/>
      <c r="S140" s="168"/>
    </row>
    <row r="141" spans="2:19">
      <c r="B141" s="167"/>
      <c r="C141" s="169"/>
      <c r="D141" s="169"/>
      <c r="E141" s="169"/>
      <c r="F141" s="169"/>
      <c r="G141" s="169"/>
      <c r="H141" s="168"/>
      <c r="I141" s="168"/>
      <c r="J141" s="168"/>
      <c r="K141" s="168"/>
      <c r="L141" s="168"/>
      <c r="M141" s="168"/>
      <c r="N141" s="168"/>
      <c r="O141" s="168"/>
      <c r="P141" s="168"/>
      <c r="Q141" s="168"/>
      <c r="R141" s="168"/>
      <c r="S141" s="168"/>
    </row>
    <row r="142" spans="2:19" ht="30">
      <c r="B142" s="105" t="s">
        <v>1252</v>
      </c>
      <c r="C142" s="104" t="s">
        <v>313</v>
      </c>
      <c r="D142" s="104" t="s">
        <v>76</v>
      </c>
      <c r="E142" s="104" t="s">
        <v>602</v>
      </c>
      <c r="F142" s="168"/>
      <c r="G142" s="168"/>
      <c r="H142" s="168"/>
      <c r="I142" s="168"/>
      <c r="J142" s="168"/>
      <c r="K142" s="168"/>
      <c r="L142" s="168"/>
      <c r="M142" s="168"/>
      <c r="N142" s="168"/>
      <c r="O142" s="168"/>
      <c r="P142" s="168"/>
      <c r="Q142" s="168"/>
    </row>
    <row r="143" spans="2:19">
      <c r="B143" s="102" t="s">
        <v>59</v>
      </c>
      <c r="C143" s="103">
        <v>86779</v>
      </c>
      <c r="D143" s="172">
        <f>C143/$C$147*$C$138</f>
        <v>3.0220049940412008</v>
      </c>
      <c r="E143" s="172">
        <f>C143/$C$147*$C$137</f>
        <v>25.40722717212417</v>
      </c>
      <c r="F143" s="168"/>
      <c r="G143" s="168"/>
      <c r="H143" s="168"/>
      <c r="I143" s="168"/>
      <c r="J143" s="168"/>
      <c r="K143" s="168"/>
      <c r="L143" s="168"/>
      <c r="M143" s="168"/>
      <c r="N143" s="168"/>
      <c r="O143" s="168"/>
      <c r="P143" s="168"/>
      <c r="Q143" s="168"/>
    </row>
    <row r="144" spans="2:19">
      <c r="B144" s="102" t="s">
        <v>61</v>
      </c>
      <c r="C144" s="103">
        <v>55000</v>
      </c>
      <c r="D144" s="172">
        <f t="shared" ref="D144:D146" si="39">C144/$C$147*$C$138</f>
        <v>1.915328301458487</v>
      </c>
      <c r="E144" s="172">
        <f t="shared" ref="E144:E146" si="40">C144/$C$147*$C$137</f>
        <v>16.102945349299134</v>
      </c>
      <c r="F144" s="168"/>
      <c r="G144" s="168"/>
      <c r="H144" s="168"/>
      <c r="I144" s="168"/>
      <c r="J144" s="168"/>
      <c r="K144" s="168"/>
      <c r="L144" s="168"/>
      <c r="M144" s="168"/>
      <c r="N144" s="168"/>
      <c r="O144" s="168"/>
      <c r="P144" s="168"/>
      <c r="Q144" s="168"/>
    </row>
    <row r="145" spans="2:19">
      <c r="B145" s="102" t="s">
        <v>227</v>
      </c>
      <c r="C145" s="103">
        <v>39734</v>
      </c>
      <c r="D145" s="172">
        <f t="shared" si="39"/>
        <v>1.3837028132754823</v>
      </c>
      <c r="E145" s="172">
        <f t="shared" si="40"/>
        <v>11.633353281982759</v>
      </c>
      <c r="F145" s="168"/>
      <c r="G145" s="168"/>
      <c r="H145" s="168"/>
      <c r="I145" s="168"/>
      <c r="J145" s="168"/>
      <c r="K145" s="168"/>
      <c r="L145" s="168"/>
      <c r="M145" s="168"/>
      <c r="N145" s="168"/>
      <c r="O145" s="168"/>
      <c r="P145" s="168"/>
      <c r="Q145" s="168"/>
    </row>
    <row r="146" spans="2:19">
      <c r="B146" s="106" t="s">
        <v>223</v>
      </c>
      <c r="C146" s="171">
        <v>158220</v>
      </c>
      <c r="D146" s="173">
        <f t="shared" si="39"/>
        <v>5.5098771610320325</v>
      </c>
      <c r="E146" s="173">
        <f t="shared" si="40"/>
        <v>46.323782057565609</v>
      </c>
      <c r="F146" s="168"/>
      <c r="G146" s="168"/>
      <c r="H146" s="168"/>
      <c r="I146" s="168"/>
      <c r="J146" s="168"/>
      <c r="K146" s="168"/>
      <c r="L146" s="168"/>
      <c r="M146" s="168"/>
      <c r="N146" s="168"/>
      <c r="O146" s="168"/>
      <c r="P146" s="168"/>
      <c r="Q146" s="168"/>
    </row>
    <row r="147" spans="2:19">
      <c r="B147" s="167" t="s">
        <v>1267</v>
      </c>
      <c r="C147" s="134">
        <v>775324</v>
      </c>
      <c r="D147" s="169">
        <f>C138</f>
        <v>27</v>
      </c>
      <c r="E147" s="169">
        <f>C137</f>
        <v>227</v>
      </c>
      <c r="F147" s="169"/>
      <c r="G147" s="169"/>
      <c r="H147" s="168"/>
      <c r="I147" s="168"/>
      <c r="J147" s="168"/>
      <c r="K147" s="168"/>
      <c r="L147" s="168"/>
      <c r="M147" s="168"/>
      <c r="N147" s="168"/>
      <c r="O147" s="168"/>
      <c r="P147" s="168"/>
      <c r="Q147" s="168"/>
      <c r="R147" s="168"/>
      <c r="S147" s="168"/>
    </row>
    <row r="148" spans="2:19">
      <c r="B148" s="168"/>
      <c r="C148" s="168"/>
      <c r="D148" s="168"/>
      <c r="E148" s="168"/>
      <c r="F148" s="168"/>
      <c r="G148" s="168"/>
      <c r="H148" s="168"/>
      <c r="I148" s="168"/>
      <c r="J148" s="168"/>
      <c r="K148" s="168"/>
      <c r="L148" s="168"/>
      <c r="M148" s="168"/>
      <c r="N148" s="168"/>
      <c r="O148" s="168"/>
      <c r="P148" s="168"/>
      <c r="Q148" s="168"/>
      <c r="R148" s="168"/>
      <c r="S148" s="168"/>
    </row>
    <row r="149" spans="2:19">
      <c r="B149" s="70" t="s">
        <v>607</v>
      </c>
      <c r="C149" s="168"/>
      <c r="D149" s="168"/>
      <c r="E149" s="168"/>
      <c r="F149" s="168"/>
      <c r="G149" s="168"/>
      <c r="H149" s="168"/>
      <c r="I149" s="168"/>
      <c r="J149" s="168"/>
      <c r="K149" s="168"/>
      <c r="L149" s="168"/>
      <c r="M149" s="168"/>
      <c r="N149" s="168"/>
      <c r="O149" s="168"/>
      <c r="P149" s="168"/>
      <c r="Q149" s="168"/>
      <c r="R149" s="168"/>
      <c r="S149" s="168"/>
    </row>
    <row r="150" spans="2:19">
      <c r="B150" s="41" t="s">
        <v>608</v>
      </c>
    </row>
    <row r="171" spans="2:2">
      <c r="B171" s="41" t="s">
        <v>609</v>
      </c>
    </row>
    <row r="172" spans="2:2">
      <c r="B172" s="41" t="s">
        <v>610</v>
      </c>
    </row>
    <row r="173" spans="2:2">
      <c r="B173" s="41" t="s">
        <v>611</v>
      </c>
    </row>
    <row r="178" spans="2:11">
      <c r="B178" s="41" t="s">
        <v>612</v>
      </c>
    </row>
    <row r="179" spans="2:11">
      <c r="B179" s="41" t="s">
        <v>558</v>
      </c>
      <c r="C179" s="41" t="s">
        <v>613</v>
      </c>
    </row>
    <row r="181" spans="2:11">
      <c r="B181" s="4" t="s">
        <v>154</v>
      </c>
      <c r="C181"/>
      <c r="D181"/>
      <c r="E181"/>
      <c r="F181"/>
      <c r="G181"/>
      <c r="H181"/>
      <c r="I181"/>
      <c r="J181"/>
      <c r="K181"/>
    </row>
    <row r="182" spans="2:11">
      <c r="B182" t="s">
        <v>155</v>
      </c>
      <c r="C182" t="s">
        <v>48</v>
      </c>
      <c r="D182" t="s">
        <v>49</v>
      </c>
      <c r="E182" t="s">
        <v>162</v>
      </c>
      <c r="F182" t="s">
        <v>140</v>
      </c>
      <c r="G182" t="s">
        <v>5</v>
      </c>
      <c r="H182" t="s">
        <v>159</v>
      </c>
      <c r="I182"/>
      <c r="J182"/>
      <c r="K182"/>
    </row>
    <row r="183" spans="2:11">
      <c r="B183" t="s">
        <v>156</v>
      </c>
      <c r="C183">
        <v>60</v>
      </c>
      <c r="D183" s="22">
        <f>C183/1000*8760*E183</f>
        <v>0</v>
      </c>
      <c r="E183" s="6"/>
      <c r="F183" t="s">
        <v>59</v>
      </c>
      <c r="G183"/>
      <c r="H183"/>
      <c r="I183"/>
      <c r="J183"/>
      <c r="K183"/>
    </row>
    <row r="184" spans="2:11">
      <c r="B184" t="s">
        <v>157</v>
      </c>
      <c r="C184">
        <v>105</v>
      </c>
      <c r="D184">
        <v>417</v>
      </c>
      <c r="E184" s="8"/>
      <c r="F184" t="s">
        <v>59</v>
      </c>
      <c r="G184" t="s">
        <v>161</v>
      </c>
      <c r="H184" s="9" t="s">
        <v>160</v>
      </c>
      <c r="I184"/>
      <c r="J184"/>
      <c r="K184"/>
    </row>
    <row r="185" spans="2:11">
      <c r="B185" t="str">
        <f>hydro!B90</f>
        <v>Littlehempston Water treatment Works</v>
      </c>
      <c r="C185">
        <f>hydro!C90</f>
        <v>480</v>
      </c>
      <c r="D185" s="22">
        <f>C185/1000*8760*E185</f>
        <v>0</v>
      </c>
      <c r="E185" s="6"/>
      <c r="F185" t="s">
        <v>158</v>
      </c>
      <c r="G185"/>
      <c r="H185"/>
      <c r="I185"/>
      <c r="J185"/>
      <c r="K185"/>
    </row>
    <row r="186" spans="2:11">
      <c r="B186"/>
      <c r="C186"/>
      <c r="D186" s="22"/>
      <c r="E186" s="6"/>
      <c r="F186"/>
      <c r="G186"/>
      <c r="H186"/>
      <c r="I186"/>
      <c r="J186"/>
      <c r="K186"/>
    </row>
    <row r="187" spans="2:11">
      <c r="B187" s="1" t="s">
        <v>1216</v>
      </c>
      <c r="C187"/>
      <c r="D187" s="22"/>
      <c r="E187" s="6"/>
      <c r="F187"/>
      <c r="G187"/>
      <c r="H187"/>
      <c r="I187"/>
      <c r="J187"/>
      <c r="K187"/>
    </row>
    <row r="188" spans="2:11">
      <c r="B188" t="s">
        <v>1217</v>
      </c>
      <c r="C188"/>
      <c r="D188" s="22"/>
      <c r="E188" s="6"/>
      <c r="F188"/>
      <c r="G188"/>
      <c r="H188"/>
      <c r="I188"/>
      <c r="J188"/>
      <c r="K188"/>
    </row>
    <row r="189" spans="2:11">
      <c r="B189" t="s">
        <v>1218</v>
      </c>
      <c r="C189"/>
      <c r="D189" s="22"/>
      <c r="E189" s="6"/>
      <c r="F189"/>
      <c r="G189"/>
      <c r="H189"/>
      <c r="I189"/>
      <c r="J189"/>
      <c r="K189"/>
    </row>
    <row r="190" spans="2:11">
      <c r="B190" t="s">
        <v>1219</v>
      </c>
      <c r="C190"/>
      <c r="D190" s="22"/>
      <c r="E190" s="6"/>
      <c r="F190"/>
      <c r="G190"/>
      <c r="H190"/>
      <c r="I190"/>
      <c r="J190"/>
      <c r="K190"/>
    </row>
    <row r="191" spans="2:11">
      <c r="B191" t="s">
        <v>1220</v>
      </c>
      <c r="C191"/>
      <c r="D191" s="22"/>
      <c r="E191" s="6"/>
      <c r="F191"/>
      <c r="G191"/>
      <c r="H191"/>
      <c r="I191"/>
      <c r="J191"/>
      <c r="K191"/>
    </row>
    <row r="192" spans="2:11">
      <c r="B192" t="s">
        <v>1221</v>
      </c>
      <c r="C192"/>
      <c r="D192" s="22"/>
      <c r="E192" s="6"/>
      <c r="F192"/>
      <c r="G192"/>
      <c r="H192"/>
      <c r="I192"/>
      <c r="J192"/>
      <c r="K192"/>
    </row>
    <row r="193" spans="2:11">
      <c r="B193" t="s">
        <v>1222</v>
      </c>
      <c r="C193"/>
      <c r="D193" s="22"/>
      <c r="E193" s="6"/>
      <c r="F193"/>
      <c r="G193"/>
      <c r="H193"/>
      <c r="I193"/>
      <c r="J193"/>
      <c r="K193"/>
    </row>
    <row r="194" spans="2:11">
      <c r="B194" t="s">
        <v>59</v>
      </c>
      <c r="C194" s="160">
        <f>832628.4/1000</f>
        <v>832.62840000000006</v>
      </c>
      <c r="D194" s="22" t="s">
        <v>1225</v>
      </c>
      <c r="E194" s="6" t="s">
        <v>1224</v>
      </c>
      <c r="F194"/>
      <c r="G194"/>
      <c r="H194"/>
      <c r="I194"/>
      <c r="J194"/>
      <c r="K194"/>
    </row>
    <row r="195" spans="2:11">
      <c r="B195" t="s">
        <v>61</v>
      </c>
      <c r="C195" s="160">
        <f>1123376.98/1000</f>
        <v>1123.37698</v>
      </c>
      <c r="D195" s="22" t="s">
        <v>1225</v>
      </c>
      <c r="E195" s="6"/>
      <c r="F195"/>
      <c r="G195"/>
      <c r="H195"/>
      <c r="I195"/>
      <c r="J195"/>
      <c r="K195"/>
    </row>
    <row r="196" spans="2:11">
      <c r="B196" t="s">
        <v>227</v>
      </c>
      <c r="C196" s="160">
        <v>954</v>
      </c>
      <c r="D196" s="22" t="s">
        <v>1225</v>
      </c>
      <c r="E196" s="6" t="s">
        <v>1226</v>
      </c>
      <c r="F196"/>
      <c r="G196"/>
      <c r="H196"/>
      <c r="I196"/>
      <c r="J196"/>
      <c r="K196"/>
    </row>
    <row r="197" spans="2:11">
      <c r="B197" t="s">
        <v>1223</v>
      </c>
      <c r="C197">
        <f>25546/100</f>
        <v>255.46</v>
      </c>
      <c r="D197" s="22" t="s">
        <v>1225</v>
      </c>
      <c r="E197" s="6" t="s">
        <v>1227</v>
      </c>
      <c r="F197"/>
      <c r="G197"/>
      <c r="H197"/>
      <c r="I197"/>
      <c r="J197"/>
      <c r="K197"/>
    </row>
    <row r="198" spans="2:11">
      <c r="B198" t="s">
        <v>1187</v>
      </c>
      <c r="C198" s="160">
        <f>C194+C195+C197</f>
        <v>2211.4653800000001</v>
      </c>
      <c r="D198" s="22" t="s">
        <v>1225</v>
      </c>
      <c r="E198" s="6"/>
      <c r="F198"/>
      <c r="G198"/>
      <c r="H198"/>
      <c r="I198"/>
      <c r="J198"/>
      <c r="K198"/>
    </row>
    <row r="199" spans="2:11">
      <c r="B199" t="s">
        <v>247</v>
      </c>
      <c r="C199" s="160">
        <f>748938.24/1000</f>
        <v>748.93823999999995</v>
      </c>
      <c r="D199" s="22" t="s">
        <v>1225</v>
      </c>
      <c r="E199" s="6"/>
      <c r="F199"/>
      <c r="G199"/>
      <c r="H199"/>
      <c r="I199"/>
      <c r="J199"/>
      <c r="K199"/>
    </row>
    <row r="200" spans="2:11">
      <c r="B200" t="s">
        <v>248</v>
      </c>
      <c r="C200" s="160">
        <f>24738.2/1000</f>
        <v>24.738199999999999</v>
      </c>
      <c r="D200" s="22" t="s">
        <v>1225</v>
      </c>
      <c r="E200" s="6"/>
      <c r="F200"/>
      <c r="G200"/>
      <c r="H200"/>
      <c r="I200"/>
      <c r="J200"/>
      <c r="K200"/>
    </row>
    <row r="201" spans="2:11">
      <c r="B201" t="s">
        <v>249</v>
      </c>
      <c r="C201" s="160">
        <f>865549.96/1000</f>
        <v>865.54995999999994</v>
      </c>
      <c r="D201" s="22" t="s">
        <v>1225</v>
      </c>
      <c r="E201" s="6"/>
      <c r="F201"/>
      <c r="G201"/>
      <c r="H201"/>
      <c r="I201"/>
      <c r="J201"/>
      <c r="K201"/>
    </row>
    <row r="202" spans="2:11">
      <c r="B202" s="41" t="s">
        <v>250</v>
      </c>
      <c r="C202" s="160">
        <f>1035163.65/1000</f>
        <v>1035.16365</v>
      </c>
      <c r="D202" s="22" t="s">
        <v>1225</v>
      </c>
      <c r="E202" s="6"/>
      <c r="F202"/>
      <c r="G202"/>
      <c r="H202"/>
      <c r="I202"/>
      <c r="J202"/>
      <c r="K202"/>
    </row>
    <row r="203" spans="2:11">
      <c r="B203" s="41" t="s">
        <v>60</v>
      </c>
      <c r="C203" s="161">
        <f>622108.9/1000</f>
        <v>622.10890000000006</v>
      </c>
      <c r="D203" s="22" t="s">
        <v>1225</v>
      </c>
      <c r="E203" s="6"/>
      <c r="F203"/>
      <c r="G203"/>
      <c r="H203"/>
      <c r="I203"/>
      <c r="J203"/>
      <c r="K203"/>
    </row>
    <row r="204" spans="2:11">
      <c r="B204" t="s">
        <v>251</v>
      </c>
      <c r="C204" s="160">
        <f>938231.44/1000</f>
        <v>938.23143999999991</v>
      </c>
      <c r="D204" s="22" t="s">
        <v>1225</v>
      </c>
      <c r="E204" s="6"/>
      <c r="F204"/>
      <c r="G204"/>
      <c r="H204"/>
      <c r="I204"/>
      <c r="J204"/>
      <c r="K204"/>
    </row>
    <row r="205" spans="2:11">
      <c r="B205" t="s">
        <v>1228</v>
      </c>
      <c r="C205" s="160">
        <f>C194+C195+C199+C200+C201+C202+C203+C204</f>
        <v>6190.7357699999993</v>
      </c>
      <c r="D205" s="22" t="s">
        <v>1225</v>
      </c>
      <c r="E205" s="6"/>
      <c r="F205"/>
      <c r="G205"/>
      <c r="H205"/>
      <c r="I205"/>
      <c r="J205"/>
      <c r="K205"/>
    </row>
    <row r="206" spans="2:11">
      <c r="B206" t="s">
        <v>1246</v>
      </c>
      <c r="C206" s="160">
        <f>21903256.49/1000</f>
        <v>21903.25649</v>
      </c>
      <c r="D206" s="22" t="s">
        <v>1225</v>
      </c>
      <c r="E206" s="6"/>
      <c r="F206"/>
      <c r="G206"/>
      <c r="H206"/>
      <c r="I206"/>
      <c r="J206"/>
      <c r="K206"/>
    </row>
    <row r="207" spans="2:11">
      <c r="B207"/>
      <c r="C207" s="160"/>
      <c r="D207" s="22"/>
      <c r="E207" s="6"/>
      <c r="F207"/>
      <c r="G207"/>
      <c r="H207"/>
      <c r="I207"/>
      <c r="J207"/>
      <c r="K207"/>
    </row>
    <row r="208" spans="2:11">
      <c r="B208" t="s">
        <v>1230</v>
      </c>
      <c r="C208">
        <v>53000</v>
      </c>
      <c r="D208" s="22" t="s">
        <v>19</v>
      </c>
      <c r="E208"/>
      <c r="F208"/>
      <c r="G208"/>
      <c r="H208"/>
      <c r="I208"/>
      <c r="J208"/>
      <c r="K208"/>
    </row>
    <row r="209" spans="2:11">
      <c r="B209" t="s">
        <v>1231</v>
      </c>
      <c r="C209" s="6">
        <v>0.5</v>
      </c>
      <c r="D209" s="22"/>
      <c r="E209"/>
      <c r="F209"/>
      <c r="G209"/>
      <c r="H209"/>
      <c r="I209"/>
      <c r="J209"/>
      <c r="K209"/>
    </row>
    <row r="210" spans="2:11">
      <c r="B210" t="s">
        <v>1234</v>
      </c>
      <c r="C210">
        <v>30000</v>
      </c>
      <c r="D210" s="22" t="s">
        <v>1233</v>
      </c>
      <c r="E210" t="s">
        <v>1235</v>
      </c>
      <c r="F210"/>
      <c r="G210"/>
      <c r="H210"/>
      <c r="I210"/>
      <c r="J210"/>
      <c r="K210"/>
    </row>
    <row r="211" spans="2:11">
      <c r="B211" t="s">
        <v>1236</v>
      </c>
      <c r="C211">
        <v>200</v>
      </c>
      <c r="D211" s="22" t="s">
        <v>1237</v>
      </c>
      <c r="E211" t="s">
        <v>1238</v>
      </c>
      <c r="F211"/>
      <c r="G211"/>
      <c r="H211"/>
      <c r="I211"/>
      <c r="J211"/>
      <c r="K211"/>
    </row>
    <row r="212" spans="2:11">
      <c r="B212" t="s">
        <v>1239</v>
      </c>
      <c r="C212">
        <f>C210/(C211*15)</f>
        <v>10</v>
      </c>
      <c r="D212" s="22" t="s">
        <v>1240</v>
      </c>
      <c r="E212" t="s">
        <v>1241</v>
      </c>
      <c r="F212"/>
      <c r="G212"/>
      <c r="H212"/>
      <c r="I212"/>
      <c r="J212"/>
      <c r="K212"/>
    </row>
    <row r="213" spans="2:11">
      <c r="B213" s="41" t="s">
        <v>597</v>
      </c>
      <c r="C213"/>
      <c r="D213" s="22"/>
      <c r="E213"/>
      <c r="F213"/>
      <c r="G213"/>
      <c r="H213"/>
      <c r="I213"/>
      <c r="J213"/>
      <c r="K213"/>
    </row>
    <row r="214" spans="2:11">
      <c r="B214" s="41" t="s">
        <v>1242</v>
      </c>
      <c r="C214" s="6">
        <v>0.85</v>
      </c>
      <c r="D214" s="22"/>
      <c r="E214"/>
      <c r="F214"/>
      <c r="G214"/>
      <c r="H214"/>
      <c r="I214"/>
      <c r="J214"/>
      <c r="K214"/>
    </row>
    <row r="215" spans="2:11">
      <c r="B215" s="41" t="s">
        <v>668</v>
      </c>
      <c r="C215" s="6">
        <v>0.2</v>
      </c>
      <c r="D215" s="22"/>
      <c r="E215"/>
      <c r="F215"/>
      <c r="G215"/>
      <c r="H215"/>
      <c r="I215"/>
      <c r="J215"/>
      <c r="K215"/>
    </row>
    <row r="216" spans="2:11">
      <c r="C216" s="6"/>
      <c r="D216" s="22"/>
      <c r="E216"/>
      <c r="F216"/>
      <c r="G216"/>
      <c r="H216"/>
      <c r="I216"/>
      <c r="J216"/>
      <c r="K216"/>
    </row>
    <row r="217" spans="2:11">
      <c r="B217" t="s">
        <v>1229</v>
      </c>
      <c r="C217"/>
      <c r="D217"/>
      <c r="E217"/>
      <c r="F217"/>
      <c r="G217"/>
      <c r="H217"/>
      <c r="I217"/>
      <c r="J217"/>
      <c r="K217"/>
    </row>
    <row r="218" spans="2:11" ht="30">
      <c r="B218" s="105" t="s">
        <v>1243</v>
      </c>
      <c r="C218" s="104" t="s">
        <v>1232</v>
      </c>
      <c r="D218" s="104" t="s">
        <v>258</v>
      </c>
      <c r="E218" s="104" t="s">
        <v>236</v>
      </c>
      <c r="F218"/>
      <c r="G218"/>
      <c r="H218"/>
      <c r="I218"/>
      <c r="J218"/>
      <c r="K218"/>
    </row>
    <row r="219" spans="2:11">
      <c r="B219" s="102" t="s">
        <v>59</v>
      </c>
      <c r="C219" s="103">
        <f>C194/$C$205*$C$208*$C$209</f>
        <v>3564.1405835675014</v>
      </c>
      <c r="D219" s="103">
        <f>E219*1000/0.2/8760</f>
        <v>17.291777945390276</v>
      </c>
      <c r="E219" s="103">
        <f>C219*$C$212/1000*$C$214</f>
        <v>30.295194960323762</v>
      </c>
      <c r="F219"/>
      <c r="G219"/>
      <c r="H219"/>
      <c r="I219"/>
      <c r="J219"/>
      <c r="K219"/>
    </row>
    <row r="220" spans="2:11">
      <c r="B220" s="102" t="s">
        <v>61</v>
      </c>
      <c r="C220" s="103">
        <f>C195/$C$205*$C$208*$C$209</f>
        <v>4808.7159710904607</v>
      </c>
      <c r="D220" s="103">
        <f t="shared" ref="D220:D222" si="41">E220*1000/0.2/8760</f>
        <v>23.329957622299613</v>
      </c>
      <c r="E220" s="103">
        <f t="shared" ref="E220:E222" si="42">C220*$C$212/1000*$C$214</f>
        <v>40.874085754268918</v>
      </c>
      <c r="F220"/>
      <c r="G220"/>
      <c r="H220"/>
      <c r="I220"/>
      <c r="J220"/>
      <c r="K220"/>
    </row>
    <row r="221" spans="2:11">
      <c r="B221" s="102" t="s">
        <v>227</v>
      </c>
      <c r="C221" s="103">
        <f>C196/$C$205*$C$208*$C$209</f>
        <v>4083.6826088605621</v>
      </c>
      <c r="D221" s="103">
        <f t="shared" si="41"/>
        <v>19.812387086366886</v>
      </c>
      <c r="E221" s="103">
        <f t="shared" si="42"/>
        <v>34.711302175314785</v>
      </c>
      <c r="F221"/>
      <c r="G221"/>
      <c r="H221"/>
      <c r="I221"/>
      <c r="J221"/>
      <c r="K221"/>
    </row>
    <row r="222" spans="2:11">
      <c r="B222" s="106" t="s">
        <v>223</v>
      </c>
      <c r="C222" s="107">
        <f>C198/$C$205*$C$208*$C$209</f>
        <v>9466.3760088084018</v>
      </c>
      <c r="D222" s="107">
        <f t="shared" si="41"/>
        <v>45.927052554150343</v>
      </c>
      <c r="E222" s="107">
        <f t="shared" si="42"/>
        <v>80.46419607487141</v>
      </c>
    </row>
    <row r="224" spans="2:11">
      <c r="B224" s="71" t="s">
        <v>1247</v>
      </c>
    </row>
    <row r="225" spans="2:4">
      <c r="B225" s="41" t="s">
        <v>1248</v>
      </c>
    </row>
    <row r="226" spans="2:4">
      <c r="B226" s="162">
        <v>3.5000000000000003E-2</v>
      </c>
      <c r="C226" s="41" t="s">
        <v>1249</v>
      </c>
    </row>
    <row r="227" spans="2:4">
      <c r="B227" s="41">
        <f>2.64</f>
        <v>2.64</v>
      </c>
      <c r="C227" s="41" t="s">
        <v>1250</v>
      </c>
    </row>
    <row r="228" spans="2:4">
      <c r="B228" s="41" t="s">
        <v>1251</v>
      </c>
    </row>
    <row r="229" spans="2:4">
      <c r="B229" s="79">
        <f>C198/C206*B227*1000</f>
        <v>266.54797225542603</v>
      </c>
      <c r="C229" s="41" t="s">
        <v>29</v>
      </c>
    </row>
    <row r="235" spans="2:4">
      <c r="B235" s="108" t="s">
        <v>606</v>
      </c>
    </row>
    <row r="236" spans="2:4">
      <c r="B236" s="70" t="s">
        <v>443</v>
      </c>
    </row>
    <row r="237" spans="2:4">
      <c r="B237" s="41" t="s">
        <v>444</v>
      </c>
      <c r="C237" s="72">
        <f>C20+F20</f>
        <v>19635</v>
      </c>
      <c r="D237" s="41" t="s">
        <v>445</v>
      </c>
    </row>
    <row r="238" spans="2:4">
      <c r="B238" s="41" t="s">
        <v>446</v>
      </c>
      <c r="C238" s="72">
        <f>I20</f>
        <v>4735</v>
      </c>
      <c r="D238" s="41" t="s">
        <v>445</v>
      </c>
    </row>
    <row r="239" spans="2:4">
      <c r="B239" s="41" t="s">
        <v>447</v>
      </c>
      <c r="C239" s="72">
        <f>R20</f>
        <v>4492944</v>
      </c>
      <c r="D239" s="41" t="s">
        <v>448</v>
      </c>
    </row>
    <row r="241" spans="2:12">
      <c r="B241" s="70" t="s">
        <v>449</v>
      </c>
    </row>
    <row r="242" spans="2:12" ht="90">
      <c r="B242" s="74" t="s">
        <v>450</v>
      </c>
      <c r="C242" s="75" t="s">
        <v>451</v>
      </c>
      <c r="D242" s="75" t="s">
        <v>452</v>
      </c>
      <c r="E242" s="75" t="s">
        <v>453</v>
      </c>
      <c r="F242" s="75" t="s">
        <v>454</v>
      </c>
      <c r="G242" s="75"/>
      <c r="H242" s="76" t="s">
        <v>455</v>
      </c>
      <c r="I242" s="76" t="s">
        <v>456</v>
      </c>
      <c r="J242" s="76" t="s">
        <v>457</v>
      </c>
      <c r="K242" s="76" t="s">
        <v>458</v>
      </c>
    </row>
    <row r="243" spans="2:12" ht="45">
      <c r="B243" s="75" t="s">
        <v>459</v>
      </c>
      <c r="C243" s="72">
        <v>3400</v>
      </c>
      <c r="D243" s="77"/>
      <c r="E243" s="77">
        <f>C238/C243</f>
        <v>1.3926470588235293</v>
      </c>
      <c r="G243" s="77">
        <f>5*E243</f>
        <v>6.9632352941176467</v>
      </c>
      <c r="H243" s="78"/>
      <c r="I243" s="78">
        <f>E243*5*0.33*365*24/1000</f>
        <v>20.129320588235291</v>
      </c>
      <c r="J243" s="79"/>
      <c r="K243" s="79">
        <f>I243*($C$297-C292)</f>
        <v>0</v>
      </c>
    </row>
    <row r="244" spans="2:12" ht="30">
      <c r="B244" s="75" t="s">
        <v>460</v>
      </c>
      <c r="C244" s="72">
        <v>2340</v>
      </c>
      <c r="D244" s="77">
        <f>$C$237/C244</f>
        <v>8.3910256410256405</v>
      </c>
      <c r="E244" s="77"/>
      <c r="F244" s="77">
        <f>2*D244</f>
        <v>16.782051282051281</v>
      </c>
      <c r="G244" s="77"/>
      <c r="H244" s="78">
        <f>D244*2*0.6*365*24/1000</f>
        <v>88.206461538461525</v>
      </c>
      <c r="J244" s="79">
        <f>H244*($C$297-$C$292)</f>
        <v>0</v>
      </c>
      <c r="K244" s="79"/>
    </row>
    <row r="245" spans="2:12" ht="30">
      <c r="B245" s="75" t="s">
        <v>461</v>
      </c>
      <c r="C245" s="41">
        <v>322</v>
      </c>
      <c r="D245" s="77">
        <f t="shared" ref="D245:D250" si="43">$C$237/C245</f>
        <v>60.978260869565219</v>
      </c>
      <c r="E245" s="77"/>
      <c r="F245" s="77">
        <f>0.5*D245</f>
        <v>30.489130434782609</v>
      </c>
      <c r="G245" s="77"/>
      <c r="H245" s="78">
        <f>D245*0.5*0.33*365*24/1000</f>
        <v>88.137978260869573</v>
      </c>
      <c r="J245" s="79">
        <f>H245*($C$297-$C$292)</f>
        <v>0</v>
      </c>
      <c r="K245" s="79"/>
    </row>
    <row r="246" spans="2:12" ht="30">
      <c r="B246" s="75" t="s">
        <v>462</v>
      </c>
      <c r="C246" s="41">
        <v>12</v>
      </c>
      <c r="D246" s="77">
        <v>852.5</v>
      </c>
      <c r="E246" s="77"/>
      <c r="F246" s="77">
        <f>0.03*D246</f>
        <v>25.574999999999999</v>
      </c>
      <c r="G246" s="77"/>
      <c r="H246" s="78">
        <f>D246*0.03*0.07*365*24/1000</f>
        <v>15.682590000000001</v>
      </c>
      <c r="J246" s="79">
        <f>H246*($C$297-$C$293)</f>
        <v>0</v>
      </c>
      <c r="K246" s="79"/>
      <c r="L246" s="41" t="s">
        <v>463</v>
      </c>
    </row>
    <row r="247" spans="2:12" ht="30">
      <c r="B247" s="75" t="s">
        <v>464</v>
      </c>
      <c r="C247" s="72">
        <v>12200</v>
      </c>
      <c r="D247" s="77">
        <f>$C$237/C247</f>
        <v>1.6094262295081967</v>
      </c>
      <c r="E247" s="77">
        <f>$C$238/C247</f>
        <v>0.38811475409836066</v>
      </c>
      <c r="F247" s="77" t="s">
        <v>465</v>
      </c>
      <c r="G247" s="77" t="s">
        <v>466</v>
      </c>
      <c r="H247" s="78">
        <f>(D247*2*365*24/1000)+(D247*8*365*24/1000)</f>
        <v>140.98573770491805</v>
      </c>
      <c r="I247" s="78">
        <f>(E247*2*365*24/1000)+(E247*8*365*24/1000)</f>
        <v>33.998852459016391</v>
      </c>
      <c r="J247" s="79">
        <f>(D247*2*365*24/1000*C291)+(D247*8*365*24/1000*(C297-C292))</f>
        <v>0</v>
      </c>
      <c r="K247" s="79">
        <f>(E247*2*365*24/1000*C291)+(E247*8*365*24/1000*(C297-C292))</f>
        <v>0</v>
      </c>
    </row>
    <row r="248" spans="2:12">
      <c r="B248" s="75" t="s">
        <v>467</v>
      </c>
      <c r="C248" s="72">
        <v>1410821</v>
      </c>
      <c r="D248" s="77">
        <f t="shared" si="43"/>
        <v>1.391742822087281E-2</v>
      </c>
      <c r="E248" s="77">
        <f>$C$238/C248</f>
        <v>3.3562018144045204E-3</v>
      </c>
      <c r="F248" s="78" t="s">
        <v>468</v>
      </c>
      <c r="G248" s="78" t="s">
        <v>468</v>
      </c>
      <c r="H248" s="78" t="s">
        <v>468</v>
      </c>
      <c r="I248" s="78" t="s">
        <v>468</v>
      </c>
      <c r="J248" s="78" t="s">
        <v>468</v>
      </c>
      <c r="K248" s="78" t="s">
        <v>468</v>
      </c>
    </row>
    <row r="249" spans="2:12">
      <c r="B249" s="75" t="s">
        <v>469</v>
      </c>
      <c r="C249" s="72">
        <v>604577</v>
      </c>
      <c r="D249" s="77">
        <f t="shared" si="43"/>
        <v>3.2477252690724261E-2</v>
      </c>
      <c r="E249" s="77"/>
      <c r="F249" s="78" t="s">
        <v>468</v>
      </c>
      <c r="G249" s="78" t="s">
        <v>468</v>
      </c>
      <c r="H249" s="78" t="s">
        <v>468</v>
      </c>
      <c r="I249" s="78" t="s">
        <v>468</v>
      </c>
      <c r="J249" s="78" t="s">
        <v>468</v>
      </c>
      <c r="K249" s="78" t="s">
        <v>468</v>
      </c>
    </row>
    <row r="250" spans="2:12">
      <c r="B250" s="75" t="s">
        <v>470</v>
      </c>
      <c r="C250" s="72">
        <v>235184</v>
      </c>
      <c r="D250" s="77">
        <f t="shared" si="43"/>
        <v>8.3487822300836789E-2</v>
      </c>
      <c r="E250" s="77">
        <f>$C$238/C250</f>
        <v>2.0133172324647935E-2</v>
      </c>
      <c r="F250" s="78" t="s">
        <v>468</v>
      </c>
      <c r="G250" s="78" t="s">
        <v>468</v>
      </c>
      <c r="H250" s="78" t="s">
        <v>468</v>
      </c>
      <c r="I250" s="78" t="s">
        <v>468</v>
      </c>
      <c r="J250" s="78" t="s">
        <v>468</v>
      </c>
      <c r="K250" s="78" t="s">
        <v>468</v>
      </c>
    </row>
    <row r="251" spans="2:12">
      <c r="B251" s="75"/>
      <c r="C251" s="72"/>
      <c r="D251" s="77"/>
      <c r="E251" s="77"/>
      <c r="F251" s="78"/>
      <c r="G251" s="78"/>
      <c r="H251" s="78"/>
      <c r="I251" s="78"/>
      <c r="J251" s="78"/>
      <c r="K251" s="78"/>
    </row>
    <row r="252" spans="2:12" ht="45">
      <c r="B252" s="75" t="s">
        <v>471</v>
      </c>
      <c r="C252" s="72"/>
      <c r="D252" s="77" t="s">
        <v>472</v>
      </c>
      <c r="E252" s="77"/>
      <c r="F252" s="78">
        <f>(0.5*F246)+(0.25*F245)+(0.25*F244)</f>
        <v>24.605295429208471</v>
      </c>
      <c r="G252" s="78"/>
      <c r="H252" s="78">
        <f>(0.5*H246)+(0.25*H245)+(0.25*H244)</f>
        <v>51.927404949832777</v>
      </c>
      <c r="I252" s="78"/>
      <c r="J252" s="78">
        <f>(0.5*J246)+(0.25*J245)+(0.25*J244)</f>
        <v>0</v>
      </c>
      <c r="K252" s="78"/>
    </row>
    <row r="253" spans="2:12">
      <c r="B253" s="75"/>
      <c r="C253" s="72"/>
      <c r="D253" s="77"/>
      <c r="E253" s="77"/>
      <c r="F253" s="78"/>
      <c r="G253" s="78"/>
      <c r="H253" s="78"/>
      <c r="I253" s="78"/>
      <c r="J253" s="78"/>
      <c r="K253" s="78"/>
    </row>
    <row r="255" spans="2:12" ht="75">
      <c r="B255" s="80" t="s">
        <v>473</v>
      </c>
      <c r="C255" s="75" t="s">
        <v>474</v>
      </c>
      <c r="D255" s="75" t="s">
        <v>475</v>
      </c>
      <c r="E255" s="75" t="s">
        <v>454</v>
      </c>
      <c r="F255" s="75" t="s">
        <v>476</v>
      </c>
      <c r="G255" s="75" t="s">
        <v>477</v>
      </c>
    </row>
    <row r="256" spans="2:12" ht="45">
      <c r="B256" s="75" t="s">
        <v>478</v>
      </c>
      <c r="C256" s="72">
        <v>2600907</v>
      </c>
      <c r="D256" s="77">
        <f>$C$239/C256</f>
        <v>1.7274527693608421</v>
      </c>
      <c r="E256" s="77">
        <f>D256*1</f>
        <v>1.7274527693608421</v>
      </c>
    </row>
    <row r="257" spans="2:12">
      <c r="B257" s="75" t="s">
        <v>479</v>
      </c>
      <c r="C257" s="72">
        <v>3407653</v>
      </c>
      <c r="D257" s="77">
        <f>$C$239/C257</f>
        <v>1.318486359966816</v>
      </c>
      <c r="E257" s="77">
        <f>D257*1</f>
        <v>1.318486359966816</v>
      </c>
    </row>
    <row r="258" spans="2:12">
      <c r="B258" s="75" t="s">
        <v>480</v>
      </c>
      <c r="C258" s="72">
        <v>102178</v>
      </c>
      <c r="D258" s="77">
        <f>$C$239/C258</f>
        <v>43.971735598661162</v>
      </c>
      <c r="E258" s="77">
        <f>D258*0.17</f>
        <v>7.4751950517723982</v>
      </c>
    </row>
    <row r="259" spans="2:12">
      <c r="B259" s="75" t="s">
        <v>481</v>
      </c>
      <c r="C259" s="72">
        <v>130045</v>
      </c>
      <c r="D259" s="77">
        <f>$C$239/C259</f>
        <v>34.549148371717486</v>
      </c>
      <c r="E259" s="77">
        <f>D259*0.05</f>
        <v>1.7274574185858744</v>
      </c>
    </row>
    <row r="260" spans="2:12">
      <c r="B260" s="75" t="s">
        <v>482</v>
      </c>
      <c r="C260" s="72">
        <v>102178</v>
      </c>
      <c r="D260" s="77">
        <f>$C$239/C260</f>
        <v>43.971735598661162</v>
      </c>
      <c r="E260" s="77">
        <f>D260*0.05</f>
        <v>2.1985867799330583</v>
      </c>
    </row>
    <row r="262" spans="2:12">
      <c r="B262" s="80" t="s">
        <v>483</v>
      </c>
    </row>
    <row r="263" spans="2:12" ht="90">
      <c r="B263" s="75" t="s">
        <v>484</v>
      </c>
      <c r="C263" s="41" t="s">
        <v>485</v>
      </c>
      <c r="D263" s="41" t="s">
        <v>486</v>
      </c>
      <c r="E263" s="75" t="s">
        <v>474</v>
      </c>
      <c r="F263" s="75" t="s">
        <v>487</v>
      </c>
      <c r="G263" s="75" t="s">
        <v>454</v>
      </c>
      <c r="H263" s="75" t="s">
        <v>476</v>
      </c>
      <c r="I263" s="75" t="s">
        <v>477</v>
      </c>
      <c r="L263" s="75" t="s">
        <v>488</v>
      </c>
    </row>
    <row r="264" spans="2:12" ht="30">
      <c r="B264" s="75" t="s">
        <v>489</v>
      </c>
      <c r="C264" s="75" t="s">
        <v>490</v>
      </c>
      <c r="D264" s="41" t="s">
        <v>491</v>
      </c>
      <c r="E264" s="41">
        <v>30000</v>
      </c>
      <c r="F264" s="77">
        <f t="shared" ref="F264:F269" si="44">$C$239/E264</f>
        <v>149.76480000000001</v>
      </c>
      <c r="G264" s="41" t="s">
        <v>492</v>
      </c>
      <c r="H264" s="77">
        <f>(0.016*F264*0.55*24*365/1000)+(0.013*F264*0.55*24*365/1000)</f>
        <v>20.925437385600006</v>
      </c>
      <c r="I264" s="77">
        <f>(0.016*F264*0.55*24*365/1000*C297)+(0.013*F264*0.55*24*365/1000*C291)</f>
        <v>0</v>
      </c>
      <c r="L264" s="81">
        <v>0.1</v>
      </c>
    </row>
    <row r="265" spans="2:12" ht="30">
      <c r="B265" s="75" t="s">
        <v>493</v>
      </c>
      <c r="C265" s="41" t="s">
        <v>494</v>
      </c>
      <c r="D265" s="41" t="s">
        <v>491</v>
      </c>
      <c r="E265" s="41">
        <v>40000</v>
      </c>
      <c r="F265" s="77">
        <f t="shared" si="44"/>
        <v>112.3236</v>
      </c>
      <c r="G265" s="41" t="s">
        <v>495</v>
      </c>
      <c r="H265" s="77">
        <f>(0.012*F265*0.7*24*365/1000)</f>
        <v>8.2652197823999991</v>
      </c>
      <c r="I265" s="77">
        <f>(0.012*F265*0.7*24*365/1000*C291)</f>
        <v>0</v>
      </c>
      <c r="L265" s="73">
        <v>0.1</v>
      </c>
    </row>
    <row r="266" spans="2:12" ht="30">
      <c r="B266" s="75" t="s">
        <v>496</v>
      </c>
      <c r="C266" s="41" t="s">
        <v>497</v>
      </c>
      <c r="D266" s="41" t="s">
        <v>491</v>
      </c>
      <c r="E266" s="41">
        <v>30000</v>
      </c>
      <c r="F266" s="77">
        <f t="shared" si="44"/>
        <v>149.76480000000001</v>
      </c>
      <c r="G266" s="41" t="s">
        <v>498</v>
      </c>
      <c r="H266" s="77">
        <f>(0.026*F266*0.55*24*365/1000)</f>
        <v>18.760736966400003</v>
      </c>
      <c r="I266" s="77">
        <f>(0.026*F266*0.55*24*365/1000*C297)</f>
        <v>0</v>
      </c>
      <c r="L266" s="73">
        <f>1-L267-L264-L265</f>
        <v>4.325787278897758E-2</v>
      </c>
    </row>
    <row r="267" spans="2:12" ht="60">
      <c r="B267" s="75" t="s">
        <v>499</v>
      </c>
      <c r="C267" s="75" t="s">
        <v>500</v>
      </c>
      <c r="D267" s="75" t="s">
        <v>501</v>
      </c>
      <c r="E267" s="72">
        <v>3400000</v>
      </c>
      <c r="F267" s="77">
        <f t="shared" si="44"/>
        <v>1.3214541176470589</v>
      </c>
      <c r="G267" s="41" t="s">
        <v>502</v>
      </c>
      <c r="H267" s="77">
        <f>(0.85*F267*0.55*24*365/1000)+(2*F267*0.55*24*365/1000)</f>
        <v>18.145282925647063</v>
      </c>
      <c r="I267" s="77">
        <f>(0.85*F267*0.55*24*365/1000*C291)+(2*F267*0.55*24*365/1000*C297)</f>
        <v>0</v>
      </c>
      <c r="L267" s="73">
        <f>E267/C239</f>
        <v>0.75674212721102241</v>
      </c>
    </row>
    <row r="268" spans="2:12" ht="60">
      <c r="B268" s="75" t="s">
        <v>503</v>
      </c>
      <c r="C268" s="41" t="s">
        <v>504</v>
      </c>
      <c r="D268" s="75" t="s">
        <v>501</v>
      </c>
      <c r="E268" s="41">
        <v>2600000</v>
      </c>
      <c r="F268" s="77">
        <f t="shared" si="44"/>
        <v>1.7280553846153845</v>
      </c>
      <c r="G268" s="41" t="s">
        <v>505</v>
      </c>
      <c r="H268" s="77">
        <f>(0.85*F268*0.7*24*365/1000)</f>
        <v>9.0069702756923053</v>
      </c>
      <c r="I268" s="77">
        <f>(0.85*F268*0.7*24*365/1000*C291)</f>
        <v>0</v>
      </c>
    </row>
    <row r="269" spans="2:12" ht="90">
      <c r="B269" s="75" t="s">
        <v>506</v>
      </c>
      <c r="D269" s="75" t="s">
        <v>507</v>
      </c>
      <c r="E269" s="72">
        <v>300000</v>
      </c>
      <c r="F269" s="77">
        <f t="shared" si="44"/>
        <v>14.97648</v>
      </c>
      <c r="G269" s="41" t="s">
        <v>508</v>
      </c>
      <c r="H269" s="41" t="s">
        <v>509</v>
      </c>
    </row>
    <row r="270" spans="2:12" ht="45">
      <c r="B270" s="75"/>
      <c r="D270" s="75" t="s">
        <v>487</v>
      </c>
      <c r="E270" s="82" t="s">
        <v>510</v>
      </c>
      <c r="F270" s="83" t="s">
        <v>511</v>
      </c>
      <c r="G270" s="75" t="s">
        <v>476</v>
      </c>
      <c r="H270" s="75" t="s">
        <v>477</v>
      </c>
    </row>
    <row r="271" spans="2:12">
      <c r="B271" s="75" t="s">
        <v>512</v>
      </c>
      <c r="D271" s="84">
        <f>($L$264*F264)+($L$265*F265)+($L$266*F266)+($L$267*F267)</f>
        <v>33.68734666666667</v>
      </c>
      <c r="E271" s="84">
        <f>($L$264*F264*0.016)+($L$266*F266*0.026)+($L$267*F267*2)</f>
        <v>2.4080648533333333</v>
      </c>
      <c r="F271" s="84">
        <f>($L$264*F264*0.013)+($L$265*F265*0.012)+($L$267*F267*0.85)</f>
        <v>1.1794825599999998</v>
      </c>
      <c r="G271" s="84">
        <f>($L$264*H264)+($L$265*H265)+($L$266*H266)+($L$267*H267)</f>
        <v>17.461915289920004</v>
      </c>
      <c r="H271" s="84">
        <f>($L$264*I264)+($L$265*I265)+($L$266*I266)+($L$267*I267)</f>
        <v>0</v>
      </c>
    </row>
    <row r="273" spans="2:4">
      <c r="B273" s="70" t="s">
        <v>513</v>
      </c>
    </row>
    <row r="274" spans="2:4" ht="30">
      <c r="B274" s="75" t="s">
        <v>514</v>
      </c>
    </row>
    <row r="275" spans="2:4">
      <c r="B275" s="75" t="s">
        <v>515</v>
      </c>
      <c r="D275" s="41" t="s">
        <v>516</v>
      </c>
    </row>
    <row r="276" spans="2:4">
      <c r="B276" s="75" t="s">
        <v>517</v>
      </c>
      <c r="C276" s="81">
        <v>0.08</v>
      </c>
      <c r="D276" s="41" t="s">
        <v>518</v>
      </c>
    </row>
    <row r="277" spans="2:4">
      <c r="B277" s="75" t="s">
        <v>519</v>
      </c>
      <c r="C277" s="81">
        <v>0.01</v>
      </c>
      <c r="D277" s="41" t="s">
        <v>518</v>
      </c>
    </row>
    <row r="278" spans="2:4">
      <c r="B278" s="75" t="s">
        <v>520</v>
      </c>
      <c r="C278" s="81">
        <v>0.04</v>
      </c>
      <c r="D278" s="41" t="s">
        <v>518</v>
      </c>
    </row>
    <row r="279" spans="2:4">
      <c r="B279" s="75" t="s">
        <v>521</v>
      </c>
      <c r="C279" s="81">
        <v>0.05</v>
      </c>
      <c r="D279" s="41" t="s">
        <v>518</v>
      </c>
    </row>
    <row r="280" spans="2:4">
      <c r="B280" s="75" t="s">
        <v>522</v>
      </c>
      <c r="C280" s="81">
        <v>0.22</v>
      </c>
      <c r="D280" s="41" t="s">
        <v>523</v>
      </c>
    </row>
    <row r="281" spans="2:4">
      <c r="B281" s="75" t="s">
        <v>524</v>
      </c>
      <c r="C281" s="81">
        <v>7.0000000000000007E-2</v>
      </c>
      <c r="D281" s="41" t="s">
        <v>523</v>
      </c>
    </row>
    <row r="282" spans="2:4">
      <c r="B282" s="75" t="s">
        <v>525</v>
      </c>
      <c r="C282" s="81">
        <v>0.42</v>
      </c>
      <c r="D282" s="41" t="s">
        <v>523</v>
      </c>
    </row>
    <row r="283" spans="2:4">
      <c r="B283" s="75" t="s">
        <v>526</v>
      </c>
      <c r="C283" s="81">
        <v>0.11</v>
      </c>
      <c r="D283" s="41" t="s">
        <v>518</v>
      </c>
    </row>
    <row r="284" spans="2:4">
      <c r="B284" s="75" t="s">
        <v>527</v>
      </c>
      <c r="C284" s="81">
        <f>SUM(C280:C282)</f>
        <v>0.71</v>
      </c>
    </row>
    <row r="286" spans="2:4" ht="30">
      <c r="B286" s="75" t="s">
        <v>528</v>
      </c>
      <c r="C286" s="41">
        <v>164396</v>
      </c>
      <c r="D286" s="73">
        <f>C286/$C$288</f>
        <v>0.14181323501629944</v>
      </c>
    </row>
    <row r="287" spans="2:4" ht="30">
      <c r="B287" s="75" t="s">
        <v>529</v>
      </c>
      <c r="C287" s="41">
        <v>994847</v>
      </c>
      <c r="D287" s="73">
        <f>C287/$C$288</f>
        <v>0.85818676498370061</v>
      </c>
    </row>
    <row r="288" spans="2:4">
      <c r="B288" s="75" t="s">
        <v>223</v>
      </c>
      <c r="C288" s="41">
        <f>SUM(C286:C287)</f>
        <v>1159243</v>
      </c>
    </row>
    <row r="290" spans="2:9">
      <c r="B290" s="75"/>
    </row>
    <row r="291" spans="2:9">
      <c r="B291" s="75"/>
    </row>
    <row r="292" spans="2:9">
      <c r="B292" s="75"/>
    </row>
    <row r="293" spans="2:9">
      <c r="B293" s="75"/>
    </row>
    <row r="294" spans="2:9">
      <c r="B294" s="75"/>
    </row>
    <row r="295" spans="2:9">
      <c r="B295" s="75"/>
    </row>
    <row r="296" spans="2:9">
      <c r="B296" s="75"/>
    </row>
    <row r="297" spans="2:9">
      <c r="B297" s="75"/>
    </row>
    <row r="299" spans="2:9">
      <c r="B299" s="70" t="s">
        <v>530</v>
      </c>
    </row>
    <row r="300" spans="2:9">
      <c r="B300" s="41" t="s">
        <v>531</v>
      </c>
      <c r="C300" s="141" t="s">
        <v>532</v>
      </c>
      <c r="D300" s="141"/>
      <c r="E300" s="141"/>
      <c r="F300" s="141"/>
      <c r="G300" s="141" t="s">
        <v>247</v>
      </c>
      <c r="H300" s="141"/>
      <c r="I300" s="141"/>
    </row>
    <row r="301" spans="2:9" ht="90">
      <c r="C301" s="75" t="s">
        <v>533</v>
      </c>
      <c r="D301" s="75" t="s">
        <v>534</v>
      </c>
      <c r="E301" s="75" t="s">
        <v>535</v>
      </c>
      <c r="F301" s="75" t="s">
        <v>536</v>
      </c>
      <c r="G301" s="75" t="s">
        <v>533</v>
      </c>
      <c r="H301" s="75" t="s">
        <v>534</v>
      </c>
      <c r="I301" s="75" t="s">
        <v>537</v>
      </c>
    </row>
    <row r="302" spans="2:9">
      <c r="B302" s="41" t="s">
        <v>538</v>
      </c>
      <c r="C302" s="72">
        <v>64725625</v>
      </c>
      <c r="D302" s="41">
        <v>21.16</v>
      </c>
      <c r="E302" s="41">
        <v>1.17</v>
      </c>
      <c r="F302" s="41">
        <v>79034</v>
      </c>
      <c r="G302" s="72">
        <f>C239</f>
        <v>4492944</v>
      </c>
      <c r="H302" s="84">
        <f>G302/C302*D302</f>
        <v>1.4688262189820493</v>
      </c>
      <c r="I302" s="77">
        <f>G302*E302/1000000</f>
        <v>5.2567444799999992</v>
      </c>
    </row>
    <row r="303" spans="2:9">
      <c r="B303" s="41" t="s">
        <v>539</v>
      </c>
      <c r="C303" s="72">
        <v>604577</v>
      </c>
      <c r="D303" s="41">
        <v>128</v>
      </c>
      <c r="E303" s="41">
        <v>0.57999999999999996</v>
      </c>
      <c r="F303" s="41">
        <v>350655</v>
      </c>
      <c r="G303" s="72">
        <f>C237</f>
        <v>19635</v>
      </c>
      <c r="H303" s="84">
        <f>G303/C303*D303</f>
        <v>4.1570883444127054</v>
      </c>
      <c r="I303" s="77">
        <f>G303*E303/1000</f>
        <v>11.388299999999999</v>
      </c>
    </row>
    <row r="304" spans="2:9">
      <c r="B304" s="41" t="s">
        <v>540</v>
      </c>
      <c r="C304" s="72">
        <v>138707</v>
      </c>
      <c r="D304" s="41">
        <v>30</v>
      </c>
      <c r="E304" s="41">
        <v>0.46</v>
      </c>
      <c r="F304" s="41">
        <v>63805</v>
      </c>
      <c r="G304" s="72">
        <f>C238</f>
        <v>4735</v>
      </c>
      <c r="H304" s="84">
        <f>G304/C304*D304</f>
        <v>1.0241011628829115</v>
      </c>
      <c r="I304" s="77">
        <f>G304*E304/1000</f>
        <v>2.1780999999999997</v>
      </c>
    </row>
    <row r="305" spans="7:9">
      <c r="G305" s="41" t="s">
        <v>223</v>
      </c>
      <c r="H305" s="84">
        <f>SUM(H302:H304)</f>
        <v>6.6500157262776662</v>
      </c>
      <c r="I305" s="84">
        <f>SUM(I302:I304)</f>
        <v>18.82314448</v>
      </c>
    </row>
  </sheetData>
  <mergeCells count="30">
    <mergeCell ref="R4:R6"/>
    <mergeCell ref="D5:F5"/>
    <mergeCell ref="B4:B6"/>
    <mergeCell ref="D4:I4"/>
    <mergeCell ref="J4:J6"/>
    <mergeCell ref="K4:N4"/>
    <mergeCell ref="O4:Q4"/>
    <mergeCell ref="O30:Q30"/>
    <mergeCell ref="R30:R32"/>
    <mergeCell ref="D31:F31"/>
    <mergeCell ref="B17:B19"/>
    <mergeCell ref="D17:I17"/>
    <mergeCell ref="J17:J19"/>
    <mergeCell ref="K17:N17"/>
    <mergeCell ref="O17:Q17"/>
    <mergeCell ref="R17:R19"/>
    <mergeCell ref="D18:F18"/>
    <mergeCell ref="B79:B81"/>
    <mergeCell ref="D79:I79"/>
    <mergeCell ref="J79:J81"/>
    <mergeCell ref="K79:N79"/>
    <mergeCell ref="B30:B32"/>
    <mergeCell ref="D30:I30"/>
    <mergeCell ref="J30:J32"/>
    <mergeCell ref="K30:N30"/>
    <mergeCell ref="O79:Q79"/>
    <mergeCell ref="R79:R81"/>
    <mergeCell ref="D80:F80"/>
    <mergeCell ref="C300:F300"/>
    <mergeCell ref="G300:I300"/>
  </mergeCells>
  <hyperlinks>
    <hyperlink ref="V18" location="_ftn1" display="_ftn1"/>
    <hyperlink ref="H184"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19</vt:i4>
      </vt:variant>
      <vt:variant>
        <vt:lpstr>Charts</vt:lpstr>
      </vt:variant>
      <vt:variant>
        <vt:i4>3</vt:i4>
      </vt:variant>
      <vt:variant>
        <vt:lpstr>Named Ranges</vt:lpstr>
      </vt:variant>
      <vt:variant>
        <vt:i4>7</vt:i4>
      </vt:variant>
    </vt:vector>
  </HeadingPairs>
  <TitlesOfParts>
    <vt:vector size="29" baseType="lpstr">
      <vt:lpstr>key sources</vt:lpstr>
      <vt:lpstr>summary</vt:lpstr>
      <vt:lpstr>PIVOT</vt:lpstr>
      <vt:lpstr>PIVOT2</vt:lpstr>
      <vt:lpstr>summary2</vt:lpstr>
      <vt:lpstr>PIVOT3</vt:lpstr>
      <vt:lpstr>summary3</vt:lpstr>
      <vt:lpstr>summary of demand</vt:lpstr>
      <vt:lpstr>wood and waste</vt:lpstr>
      <vt:lpstr>pv</vt:lpstr>
      <vt:lpstr>wind</vt:lpstr>
      <vt:lpstr>hydro</vt:lpstr>
      <vt:lpstr>geothermal</vt:lpstr>
      <vt:lpstr>marine</vt:lpstr>
      <vt:lpstr>space heat calcs</vt:lpstr>
      <vt:lpstr>space heating</vt:lpstr>
      <vt:lpstr>roof solar</vt:lpstr>
      <vt:lpstr>micro wind</vt:lpstr>
      <vt:lpstr>RegenSW 2012 survey</vt:lpstr>
      <vt:lpstr>Graph</vt:lpstr>
      <vt:lpstr>Graph2</vt:lpstr>
      <vt:lpstr>graph3</vt:lpstr>
      <vt:lpstr>'wood and waste'!_ftn1</vt:lpstr>
      <vt:lpstr>'wood and waste'!_ftn2</vt:lpstr>
      <vt:lpstr>'wood and waste'!_ftn3</vt:lpstr>
      <vt:lpstr>'wood and waste'!_ftnref1</vt:lpstr>
      <vt:lpstr>'wood and waste'!_ftnref2</vt:lpstr>
      <vt:lpstr>'wood and waste'!_ftnref3</vt:lpstr>
      <vt:lpstr>wind!_Hlk277340305</vt:lpstr>
    </vt:vector>
  </TitlesOfParts>
  <Company>University of Exeter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Lash</dc:creator>
  <cp:lastModifiedBy>Dan Lash</cp:lastModifiedBy>
  <dcterms:created xsi:type="dcterms:W3CDTF">2013-01-30T08:29:31Z</dcterms:created>
  <dcterms:modified xsi:type="dcterms:W3CDTF">2013-05-17T14:25:30Z</dcterms:modified>
</cp:coreProperties>
</file>